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Users\emartin\My Documents\1. My Files\Town Meetings\May 2021 ATM-STM\"/>
    </mc:Choice>
  </mc:AlternateContent>
  <xr:revisionPtr revIDLastSave="0" documentId="8_{7711DE75-C680-4E5D-AAC8-3F6327E287E5}" xr6:coauthVersionLast="36" xr6:coauthVersionMax="36" xr10:uidLastSave="{00000000-0000-0000-0000-000000000000}"/>
  <bookViews>
    <workbookView xWindow="0" yWindow="0" windowWidth="21570" windowHeight="7980" xr2:uid="{D7FA6587-BAF9-F245-BA44-666CE5655311}"/>
  </bookViews>
  <sheets>
    <sheet name="Expense Worksheet" sheetId="1" r:id="rId1"/>
  </sheets>
  <externalReferences>
    <externalReference r:id="rId2"/>
  </externalReferences>
  <definedNames>
    <definedName name="JW_Direct_Allocation">#REF!</definedName>
    <definedName name="JW_inDirect_Allocation">#REF!</definedName>
    <definedName name="_xlnm.Print_Area" localSheetId="0">'Expense Worksheet'!$A$1:$R$252</definedName>
    <definedName name="_xlnm.Print_Titles" localSheetId="0">'Expense Worksheet'!$1:$1</definedName>
    <definedName name="S_Direct_Allocation">#REF!</definedName>
    <definedName name="S_inDirect_Allocation">#REF!</definedName>
    <definedName name="SW_Direct_Allocation">#REF!</definedName>
    <definedName name="SW_inDirect_Allocation">#REF!</definedName>
    <definedName name="W_direct_allocation">#REF!</definedName>
    <definedName name="W_indirect_allocat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Z25" i="1"/>
  <c r="Z26" i="1" s="1"/>
  <c r="AB25" i="1"/>
  <c r="W111" i="1"/>
  <c r="Y111" i="1"/>
  <c r="AA111" i="1"/>
  <c r="V114" i="1"/>
  <c r="W114" i="1"/>
  <c r="X114" i="1"/>
  <c r="Y114" i="1"/>
  <c r="Z114" i="1"/>
  <c r="AA114" i="1"/>
  <c r="U158" i="1"/>
  <c r="W158" i="1"/>
  <c r="Y158" i="1"/>
  <c r="AA158" i="1"/>
  <c r="U159" i="1"/>
  <c r="W159" i="1"/>
  <c r="Y159" i="1"/>
  <c r="AA159" i="1"/>
  <c r="U160" i="1"/>
  <c r="U161" i="1"/>
  <c r="W161" i="1"/>
  <c r="Y161" i="1"/>
  <c r="AA161" i="1"/>
  <c r="U163" i="1"/>
  <c r="W163" i="1"/>
  <c r="Y163" i="1"/>
  <c r="AA163" i="1"/>
  <c r="U164" i="1"/>
  <c r="W164" i="1"/>
  <c r="Y164" i="1"/>
  <c r="AA164" i="1"/>
  <c r="U166" i="1"/>
  <c r="W166" i="1"/>
  <c r="Y166" i="1"/>
  <c r="AA166" i="1"/>
  <c r="W167" i="1"/>
  <c r="Y167" i="1"/>
  <c r="AA167" i="1"/>
  <c r="W178" i="1"/>
  <c r="Y178" i="1"/>
  <c r="AB178" i="1" s="1"/>
  <c r="AB179" i="1" s="1"/>
  <c r="AA178" i="1"/>
  <c r="K249" i="1"/>
  <c r="K244" i="1"/>
  <c r="K243" i="1"/>
  <c r="K224" i="1"/>
  <c r="D216" i="1"/>
  <c r="J210" i="1"/>
  <c r="I210" i="1"/>
  <c r="H210" i="1"/>
  <c r="G210" i="1"/>
  <c r="F210" i="1"/>
  <c r="M209" i="1"/>
  <c r="J209" i="1"/>
  <c r="Q209" i="1" s="1"/>
  <c r="I209" i="1"/>
  <c r="H209" i="1"/>
  <c r="G209" i="1"/>
  <c r="O206" i="1"/>
  <c r="N206" i="1"/>
  <c r="J206" i="1"/>
  <c r="I206" i="1"/>
  <c r="H206" i="1"/>
  <c r="G206" i="1"/>
  <c r="F206" i="1"/>
  <c r="M205" i="1"/>
  <c r="P205" i="1" s="1"/>
  <c r="Q205" i="1" s="1"/>
  <c r="R205" i="1" s="1"/>
  <c r="M203" i="1"/>
  <c r="P203" i="1" s="1"/>
  <c r="Q203" i="1" s="1"/>
  <c r="R203" i="1" s="1"/>
  <c r="L202" i="1"/>
  <c r="M202" i="1" s="1"/>
  <c r="P202" i="1" s="1"/>
  <c r="Q202" i="1" s="1"/>
  <c r="R202" i="1" s="1"/>
  <c r="M201" i="1"/>
  <c r="O199" i="1"/>
  <c r="N199" i="1"/>
  <c r="L199" i="1"/>
  <c r="J199" i="1"/>
  <c r="I199" i="1"/>
  <c r="H199" i="1"/>
  <c r="G199" i="1"/>
  <c r="F199" i="1"/>
  <c r="M198" i="1"/>
  <c r="P198" i="1" s="1"/>
  <c r="Q198" i="1" s="1"/>
  <c r="R198" i="1" s="1"/>
  <c r="M196" i="1"/>
  <c r="P196" i="1" s="1"/>
  <c r="Q196" i="1" s="1"/>
  <c r="R196" i="1" s="1"/>
  <c r="M195" i="1"/>
  <c r="P195" i="1" s="1"/>
  <c r="O192" i="1"/>
  <c r="L192" i="1"/>
  <c r="J192" i="1"/>
  <c r="I192" i="1"/>
  <c r="H192" i="1"/>
  <c r="F192" i="1"/>
  <c r="E192" i="1"/>
  <c r="M191" i="1"/>
  <c r="P191" i="1" s="1"/>
  <c r="Q191" i="1" s="1"/>
  <c r="R191" i="1" s="1"/>
  <c r="G191" i="1"/>
  <c r="G192" i="1" s="1"/>
  <c r="M189" i="1"/>
  <c r="P189" i="1" s="1"/>
  <c r="Q189" i="1" s="1"/>
  <c r="R189" i="1" s="1"/>
  <c r="M188" i="1"/>
  <c r="P188" i="1" s="1"/>
  <c r="Q188" i="1" s="1"/>
  <c r="R188" i="1" s="1"/>
  <c r="M187" i="1"/>
  <c r="P187" i="1" s="1"/>
  <c r="Q187" i="1" s="1"/>
  <c r="R187" i="1" s="1"/>
  <c r="M186" i="1"/>
  <c r="P186" i="1" s="1"/>
  <c r="Q186" i="1" s="1"/>
  <c r="R186" i="1" s="1"/>
  <c r="M185" i="1"/>
  <c r="P185" i="1" s="1"/>
  <c r="Q185" i="1" s="1"/>
  <c r="R185" i="1" s="1"/>
  <c r="M184" i="1"/>
  <c r="P184" i="1" s="1"/>
  <c r="Q184" i="1" s="1"/>
  <c r="R184" i="1" s="1"/>
  <c r="M183" i="1"/>
  <c r="P183" i="1" s="1"/>
  <c r="Q183" i="1" s="1"/>
  <c r="R183" i="1" s="1"/>
  <c r="M182" i="1"/>
  <c r="P182" i="1" s="1"/>
  <c r="O181" i="1"/>
  <c r="N181" i="1"/>
  <c r="L181" i="1"/>
  <c r="K181" i="1"/>
  <c r="J181" i="1"/>
  <c r="I181" i="1"/>
  <c r="G181" i="1"/>
  <c r="F181" i="1"/>
  <c r="Q180" i="1"/>
  <c r="M180" i="1"/>
  <c r="H180" i="1"/>
  <c r="H181" i="1" s="1"/>
  <c r="M179" i="1"/>
  <c r="P179" i="1" s="1"/>
  <c r="Q179" i="1" s="1"/>
  <c r="R179" i="1" s="1"/>
  <c r="M178" i="1"/>
  <c r="P178" i="1" s="1"/>
  <c r="Q178" i="1" s="1"/>
  <c r="R178" i="1" s="1"/>
  <c r="M177" i="1"/>
  <c r="P177" i="1" s="1"/>
  <c r="Q177" i="1" s="1"/>
  <c r="R177" i="1" s="1"/>
  <c r="M176" i="1"/>
  <c r="P175" i="1"/>
  <c r="O174" i="1"/>
  <c r="N174" i="1"/>
  <c r="L174" i="1"/>
  <c r="K174" i="1"/>
  <c r="J174" i="1"/>
  <c r="I174" i="1"/>
  <c r="H174" i="1"/>
  <c r="G174" i="1"/>
  <c r="F174" i="1"/>
  <c r="M173" i="1"/>
  <c r="P172" i="1"/>
  <c r="O171" i="1"/>
  <c r="M170" i="1"/>
  <c r="P170" i="1" s="1"/>
  <c r="Q170" i="1" s="1"/>
  <c r="R170" i="1" s="1"/>
  <c r="M169" i="1"/>
  <c r="P169" i="1" s="1"/>
  <c r="Q169" i="1" s="1"/>
  <c r="R169" i="1" s="1"/>
  <c r="M168" i="1"/>
  <c r="P168" i="1" s="1"/>
  <c r="Q168" i="1" s="1"/>
  <c r="R168" i="1" s="1"/>
  <c r="M167" i="1"/>
  <c r="P167" i="1" s="1"/>
  <c r="M166" i="1"/>
  <c r="P166" i="1" s="1"/>
  <c r="Q166" i="1" s="1"/>
  <c r="R166" i="1" s="1"/>
  <c r="M165" i="1"/>
  <c r="P165" i="1" s="1"/>
  <c r="Q165" i="1" s="1"/>
  <c r="R165" i="1" s="1"/>
  <c r="M164" i="1"/>
  <c r="P164" i="1" s="1"/>
  <c r="Q164" i="1" s="1"/>
  <c r="R164" i="1" s="1"/>
  <c r="F164" i="1"/>
  <c r="M163" i="1"/>
  <c r="P163" i="1" s="1"/>
  <c r="Q163" i="1" s="1"/>
  <c r="R163" i="1" s="1"/>
  <c r="F163" i="1"/>
  <c r="M162" i="1"/>
  <c r="P162" i="1" s="1"/>
  <c r="Q162" i="1" s="1"/>
  <c r="R162" i="1" s="1"/>
  <c r="M161" i="1"/>
  <c r="P161" i="1" s="1"/>
  <c r="Q161" i="1" s="1"/>
  <c r="R161" i="1" s="1"/>
  <c r="M160" i="1"/>
  <c r="P160" i="1" s="1"/>
  <c r="Q160" i="1" s="1"/>
  <c r="R160" i="1" s="1"/>
  <c r="M159" i="1"/>
  <c r="P159" i="1" s="1"/>
  <c r="Q159" i="1" s="1"/>
  <c r="R159" i="1" s="1"/>
  <c r="M158" i="1"/>
  <c r="P158" i="1" s="1"/>
  <c r="Q158" i="1" s="1"/>
  <c r="R158" i="1" s="1"/>
  <c r="H158" i="1"/>
  <c r="F158" i="1"/>
  <c r="M157" i="1"/>
  <c r="P157" i="1" s="1"/>
  <c r="Q157" i="1" s="1"/>
  <c r="R157" i="1" s="1"/>
  <c r="H157" i="1"/>
  <c r="G157" i="1"/>
  <c r="M156" i="1"/>
  <c r="P156" i="1" s="1"/>
  <c r="Q156" i="1" s="1"/>
  <c r="R156" i="1" s="1"/>
  <c r="M155" i="1"/>
  <c r="P155" i="1" s="1"/>
  <c r="Q155" i="1" s="1"/>
  <c r="R155" i="1" s="1"/>
  <c r="M154" i="1"/>
  <c r="P154" i="1" s="1"/>
  <c r="Q154" i="1" s="1"/>
  <c r="R154" i="1" s="1"/>
  <c r="P153" i="1"/>
  <c r="Q153" i="1" s="1"/>
  <c r="R153" i="1" s="1"/>
  <c r="M153" i="1"/>
  <c r="M152" i="1"/>
  <c r="P152" i="1" s="1"/>
  <c r="Q152" i="1" s="1"/>
  <c r="R152" i="1" s="1"/>
  <c r="M151" i="1"/>
  <c r="P151" i="1" s="1"/>
  <c r="Q151" i="1" s="1"/>
  <c r="R151" i="1" s="1"/>
  <c r="M150" i="1"/>
  <c r="P150" i="1" s="1"/>
  <c r="Q150" i="1" s="1"/>
  <c r="R150" i="1" s="1"/>
  <c r="M149" i="1"/>
  <c r="P149" i="1" s="1"/>
  <c r="Q149" i="1" s="1"/>
  <c r="R149" i="1" s="1"/>
  <c r="M148" i="1"/>
  <c r="P148" i="1" s="1"/>
  <c r="Q148" i="1" s="1"/>
  <c r="R148" i="1" s="1"/>
  <c r="M147" i="1"/>
  <c r="P147" i="1" s="1"/>
  <c r="Q147" i="1" s="1"/>
  <c r="R147" i="1" s="1"/>
  <c r="P146" i="1"/>
  <c r="Q146" i="1" s="1"/>
  <c r="R146" i="1" s="1"/>
  <c r="M146" i="1"/>
  <c r="M145" i="1"/>
  <c r="P145" i="1" s="1"/>
  <c r="Q145" i="1" s="1"/>
  <c r="R145" i="1" s="1"/>
  <c r="M144" i="1"/>
  <c r="P144" i="1" s="1"/>
  <c r="Q144" i="1" s="1"/>
  <c r="R144" i="1" s="1"/>
  <c r="M143" i="1"/>
  <c r="P143" i="1" s="1"/>
  <c r="Q143" i="1" s="1"/>
  <c r="R143" i="1" s="1"/>
  <c r="M142" i="1"/>
  <c r="P142" i="1" s="1"/>
  <c r="Q142" i="1" s="1"/>
  <c r="R142" i="1" s="1"/>
  <c r="M141" i="1"/>
  <c r="P141" i="1" s="1"/>
  <c r="Q141" i="1" s="1"/>
  <c r="R141" i="1" s="1"/>
  <c r="M140" i="1"/>
  <c r="P140" i="1" s="1"/>
  <c r="Q140" i="1" s="1"/>
  <c r="R140" i="1" s="1"/>
  <c r="M139" i="1"/>
  <c r="P139" i="1" s="1"/>
  <c r="Q139" i="1" s="1"/>
  <c r="R139" i="1" s="1"/>
  <c r="M138" i="1"/>
  <c r="P138" i="1" s="1"/>
  <c r="Q138" i="1" s="1"/>
  <c r="R138" i="1" s="1"/>
  <c r="L137" i="1"/>
  <c r="M137" i="1" s="1"/>
  <c r="P137" i="1" s="1"/>
  <c r="J137" i="1"/>
  <c r="M136" i="1"/>
  <c r="P136" i="1" s="1"/>
  <c r="Q136" i="1" s="1"/>
  <c r="R136" i="1" s="1"/>
  <c r="M135" i="1"/>
  <c r="P135" i="1" s="1"/>
  <c r="Q135" i="1" s="1"/>
  <c r="R135" i="1" s="1"/>
  <c r="M134" i="1"/>
  <c r="P134" i="1" s="1"/>
  <c r="Q134" i="1" s="1"/>
  <c r="R134" i="1" s="1"/>
  <c r="M133" i="1"/>
  <c r="P133" i="1" s="1"/>
  <c r="Q133" i="1" s="1"/>
  <c r="R133" i="1" s="1"/>
  <c r="M132" i="1"/>
  <c r="P132" i="1" s="1"/>
  <c r="Q132" i="1" s="1"/>
  <c r="R132" i="1" s="1"/>
  <c r="M131" i="1"/>
  <c r="P131" i="1" s="1"/>
  <c r="Q131" i="1" s="1"/>
  <c r="R131" i="1" s="1"/>
  <c r="M130" i="1"/>
  <c r="P130" i="1" s="1"/>
  <c r="Q130" i="1" s="1"/>
  <c r="R130" i="1" s="1"/>
  <c r="F130" i="1"/>
  <c r="M129" i="1"/>
  <c r="P129" i="1" s="1"/>
  <c r="Q129" i="1" s="1"/>
  <c r="R129" i="1" s="1"/>
  <c r="M128" i="1"/>
  <c r="P128" i="1" s="1"/>
  <c r="Q128" i="1" s="1"/>
  <c r="R128" i="1" s="1"/>
  <c r="M127" i="1"/>
  <c r="P127" i="1" s="1"/>
  <c r="Q127" i="1" s="1"/>
  <c r="R127" i="1" s="1"/>
  <c r="P126" i="1"/>
  <c r="Q126" i="1" s="1"/>
  <c r="R126" i="1" s="1"/>
  <c r="M126" i="1"/>
  <c r="M125" i="1"/>
  <c r="P125" i="1" s="1"/>
  <c r="Q125" i="1" s="1"/>
  <c r="R125" i="1" s="1"/>
  <c r="M124" i="1"/>
  <c r="P124" i="1" s="1"/>
  <c r="Q124" i="1" s="1"/>
  <c r="R124" i="1" s="1"/>
  <c r="M123" i="1"/>
  <c r="P123" i="1" s="1"/>
  <c r="Q123" i="1" s="1"/>
  <c r="R123" i="1" s="1"/>
  <c r="M122" i="1"/>
  <c r="P122" i="1" s="1"/>
  <c r="M121" i="1"/>
  <c r="P121" i="1" s="1"/>
  <c r="Q121" i="1" s="1"/>
  <c r="R121" i="1" s="1"/>
  <c r="P120" i="1"/>
  <c r="Q120" i="1" s="1"/>
  <c r="R120" i="1" s="1"/>
  <c r="M120" i="1"/>
  <c r="M119" i="1"/>
  <c r="P119" i="1" s="1"/>
  <c r="P118" i="1"/>
  <c r="Q118" i="1" s="1"/>
  <c r="R118" i="1" s="1"/>
  <c r="M118" i="1"/>
  <c r="M117" i="1"/>
  <c r="P117" i="1" s="1"/>
  <c r="Q117" i="1" s="1"/>
  <c r="R117" i="1" s="1"/>
  <c r="M116" i="1"/>
  <c r="P116" i="1" s="1"/>
  <c r="M115" i="1"/>
  <c r="P115" i="1" s="1"/>
  <c r="Q115" i="1" s="1"/>
  <c r="R115" i="1" s="1"/>
  <c r="M114" i="1"/>
  <c r="P114" i="1" s="1"/>
  <c r="J114" i="1"/>
  <c r="M113" i="1"/>
  <c r="P113" i="1" s="1"/>
  <c r="J113" i="1"/>
  <c r="M112" i="1"/>
  <c r="P112" i="1" s="1"/>
  <c r="Q112" i="1" s="1"/>
  <c r="R112" i="1" s="1"/>
  <c r="M111" i="1"/>
  <c r="P111" i="1" s="1"/>
  <c r="U111" i="1" s="1"/>
  <c r="J111" i="1"/>
  <c r="M110" i="1"/>
  <c r="P110" i="1" s="1"/>
  <c r="Y110" i="1" s="1"/>
  <c r="J110" i="1"/>
  <c r="M109" i="1"/>
  <c r="P109" i="1" s="1"/>
  <c r="W109" i="1" s="1"/>
  <c r="M108" i="1"/>
  <c r="P108" i="1" s="1"/>
  <c r="Y108" i="1" s="1"/>
  <c r="F108" i="1"/>
  <c r="M107" i="1"/>
  <c r="P107" i="1" s="1"/>
  <c r="M106" i="1"/>
  <c r="P106" i="1" s="1"/>
  <c r="Q106" i="1" s="1"/>
  <c r="R106" i="1" s="1"/>
  <c r="I106" i="1"/>
  <c r="I105" i="1" s="1"/>
  <c r="I171" i="1" s="1"/>
  <c r="M105" i="1"/>
  <c r="P105" i="1" s="1"/>
  <c r="Q105" i="1" s="1"/>
  <c r="R105" i="1" s="1"/>
  <c r="H105" i="1"/>
  <c r="G105" i="1"/>
  <c r="F105" i="1"/>
  <c r="M104" i="1"/>
  <c r="P104" i="1" s="1"/>
  <c r="Q104" i="1" s="1"/>
  <c r="R104" i="1" s="1"/>
  <c r="K103" i="1"/>
  <c r="M103" i="1" s="1"/>
  <c r="P103" i="1" s="1"/>
  <c r="Q103" i="1" s="1"/>
  <c r="R103" i="1" s="1"/>
  <c r="M102" i="1"/>
  <c r="P102" i="1" s="1"/>
  <c r="Q102" i="1" s="1"/>
  <c r="R102" i="1" s="1"/>
  <c r="M101" i="1"/>
  <c r="P101" i="1" s="1"/>
  <c r="Q101" i="1" s="1"/>
  <c r="R101" i="1" s="1"/>
  <c r="M100" i="1"/>
  <c r="P100" i="1" s="1"/>
  <c r="Q100" i="1" s="1"/>
  <c r="R100" i="1" s="1"/>
  <c r="M99" i="1"/>
  <c r="P99" i="1" s="1"/>
  <c r="Q99" i="1" s="1"/>
  <c r="R99" i="1" s="1"/>
  <c r="M98" i="1"/>
  <c r="P98" i="1" s="1"/>
  <c r="Q98" i="1" s="1"/>
  <c r="R98" i="1" s="1"/>
  <c r="M97" i="1"/>
  <c r="P97" i="1" s="1"/>
  <c r="Q97" i="1" s="1"/>
  <c r="R97" i="1" s="1"/>
  <c r="M96" i="1"/>
  <c r="P96" i="1" s="1"/>
  <c r="Q96" i="1" s="1"/>
  <c r="R96" i="1" s="1"/>
  <c r="M95" i="1"/>
  <c r="P95" i="1" s="1"/>
  <c r="Q95" i="1" s="1"/>
  <c r="R95" i="1" s="1"/>
  <c r="M94" i="1"/>
  <c r="P94" i="1" s="1"/>
  <c r="Q94" i="1" s="1"/>
  <c r="R94" i="1" s="1"/>
  <c r="M93" i="1"/>
  <c r="P93" i="1" s="1"/>
  <c r="Q93" i="1" s="1"/>
  <c r="R93" i="1" s="1"/>
  <c r="F92" i="1"/>
  <c r="P91" i="1"/>
  <c r="Q91" i="1" s="1"/>
  <c r="R91" i="1" s="1"/>
  <c r="M91" i="1"/>
  <c r="M90" i="1"/>
  <c r="P90" i="1" s="1"/>
  <c r="Q90" i="1" s="1"/>
  <c r="R90" i="1" s="1"/>
  <c r="M89" i="1"/>
  <c r="P89" i="1" s="1"/>
  <c r="Q89" i="1" s="1"/>
  <c r="R89" i="1" s="1"/>
  <c r="M88" i="1"/>
  <c r="P88" i="1" s="1"/>
  <c r="Q88" i="1" s="1"/>
  <c r="R88" i="1" s="1"/>
  <c r="M87" i="1"/>
  <c r="P87" i="1" s="1"/>
  <c r="Q87" i="1" s="1"/>
  <c r="R87" i="1" s="1"/>
  <c r="L86" i="1"/>
  <c r="M85" i="1"/>
  <c r="P85" i="1" s="1"/>
  <c r="Q85" i="1" s="1"/>
  <c r="R85" i="1" s="1"/>
  <c r="M84" i="1"/>
  <c r="P84" i="1" s="1"/>
  <c r="Q84" i="1" s="1"/>
  <c r="R84" i="1" s="1"/>
  <c r="M83" i="1"/>
  <c r="P83" i="1" s="1"/>
  <c r="Q83" i="1" s="1"/>
  <c r="R83" i="1" s="1"/>
  <c r="Q82" i="1"/>
  <c r="R82" i="1" s="1"/>
  <c r="M82" i="1"/>
  <c r="P82" i="1" s="1"/>
  <c r="G82" i="1"/>
  <c r="M81" i="1"/>
  <c r="P81" i="1" s="1"/>
  <c r="Q81" i="1" s="1"/>
  <c r="R81" i="1" s="1"/>
  <c r="M80" i="1"/>
  <c r="P80" i="1" s="1"/>
  <c r="Q80" i="1" s="1"/>
  <c r="R80" i="1" s="1"/>
  <c r="M79" i="1"/>
  <c r="P79" i="1" s="1"/>
  <c r="Q79" i="1" s="1"/>
  <c r="R79" i="1" s="1"/>
  <c r="M78" i="1"/>
  <c r="P78" i="1" s="1"/>
  <c r="Q78" i="1" s="1"/>
  <c r="R78" i="1" s="1"/>
  <c r="M77" i="1"/>
  <c r="P77" i="1" s="1"/>
  <c r="Q77" i="1" s="1"/>
  <c r="R77" i="1" s="1"/>
  <c r="M76" i="1"/>
  <c r="P76" i="1" s="1"/>
  <c r="Q76" i="1" s="1"/>
  <c r="R76" i="1" s="1"/>
  <c r="M75" i="1"/>
  <c r="P75" i="1" s="1"/>
  <c r="J75" i="1"/>
  <c r="M74" i="1"/>
  <c r="P74" i="1" s="1"/>
  <c r="Q74" i="1" s="1"/>
  <c r="R74" i="1" s="1"/>
  <c r="M73" i="1"/>
  <c r="P73" i="1" s="1"/>
  <c r="Q73" i="1" s="1"/>
  <c r="R73" i="1" s="1"/>
  <c r="M72" i="1"/>
  <c r="P72" i="1" s="1"/>
  <c r="Q72" i="1" s="1"/>
  <c r="R72" i="1" s="1"/>
  <c r="M71" i="1"/>
  <c r="P71" i="1" s="1"/>
  <c r="J71" i="1"/>
  <c r="M70" i="1"/>
  <c r="P70" i="1" s="1"/>
  <c r="Q70" i="1" s="1"/>
  <c r="R70" i="1" s="1"/>
  <c r="M69" i="1"/>
  <c r="P69" i="1" s="1"/>
  <c r="Q69" i="1" s="1"/>
  <c r="R69" i="1" s="1"/>
  <c r="M68" i="1"/>
  <c r="P68" i="1" s="1"/>
  <c r="Q68" i="1" s="1"/>
  <c r="R68" i="1" s="1"/>
  <c r="M67" i="1"/>
  <c r="P67" i="1" s="1"/>
  <c r="Q67" i="1" s="1"/>
  <c r="R67" i="1" s="1"/>
  <c r="M66" i="1"/>
  <c r="P66" i="1" s="1"/>
  <c r="Q66" i="1" s="1"/>
  <c r="R66" i="1" s="1"/>
  <c r="M65" i="1"/>
  <c r="P65" i="1" s="1"/>
  <c r="Q65" i="1" s="1"/>
  <c r="R65" i="1" s="1"/>
  <c r="M64" i="1"/>
  <c r="P64" i="1" s="1"/>
  <c r="Q64" i="1" s="1"/>
  <c r="R64" i="1" s="1"/>
  <c r="M63" i="1"/>
  <c r="P63" i="1" s="1"/>
  <c r="Q63" i="1" s="1"/>
  <c r="R63" i="1" s="1"/>
  <c r="M62" i="1"/>
  <c r="P62" i="1" s="1"/>
  <c r="Q62" i="1" s="1"/>
  <c r="R62" i="1" s="1"/>
  <c r="M61" i="1"/>
  <c r="P61" i="1" s="1"/>
  <c r="Q61" i="1" s="1"/>
  <c r="R61" i="1" s="1"/>
  <c r="M60" i="1"/>
  <c r="P60" i="1" s="1"/>
  <c r="Q60" i="1" s="1"/>
  <c r="R60" i="1" s="1"/>
  <c r="H60" i="1"/>
  <c r="M59" i="1"/>
  <c r="P59" i="1" s="1"/>
  <c r="Q59" i="1" s="1"/>
  <c r="R59" i="1" s="1"/>
  <c r="M58" i="1"/>
  <c r="P58" i="1" s="1"/>
  <c r="Q58" i="1" s="1"/>
  <c r="R58" i="1" s="1"/>
  <c r="M57" i="1"/>
  <c r="P57" i="1" s="1"/>
  <c r="Q57" i="1" s="1"/>
  <c r="R57" i="1" s="1"/>
  <c r="M56" i="1"/>
  <c r="P56" i="1" s="1"/>
  <c r="Q56" i="1" s="1"/>
  <c r="R56" i="1" s="1"/>
  <c r="M55" i="1"/>
  <c r="P55" i="1" s="1"/>
  <c r="Q55" i="1" s="1"/>
  <c r="R55" i="1" s="1"/>
  <c r="M54" i="1"/>
  <c r="P54" i="1" s="1"/>
  <c r="J54" i="1"/>
  <c r="M53" i="1"/>
  <c r="P53" i="1" s="1"/>
  <c r="Q53" i="1" s="1"/>
  <c r="R53" i="1" s="1"/>
  <c r="M52" i="1"/>
  <c r="P52" i="1" s="1"/>
  <c r="Q52" i="1" s="1"/>
  <c r="R52" i="1" s="1"/>
  <c r="M51" i="1"/>
  <c r="P51" i="1" s="1"/>
  <c r="Q51" i="1" s="1"/>
  <c r="R51" i="1" s="1"/>
  <c r="M50" i="1"/>
  <c r="P50" i="1" s="1"/>
  <c r="Q50" i="1" s="1"/>
  <c r="R50" i="1" s="1"/>
  <c r="M49" i="1"/>
  <c r="P49" i="1" s="1"/>
  <c r="Q49" i="1" s="1"/>
  <c r="R49" i="1" s="1"/>
  <c r="M48" i="1"/>
  <c r="P48" i="1" s="1"/>
  <c r="Q48" i="1" s="1"/>
  <c r="R48" i="1" s="1"/>
  <c r="M47" i="1"/>
  <c r="P47" i="1" s="1"/>
  <c r="M46" i="1"/>
  <c r="P46" i="1" s="1"/>
  <c r="J46" i="1"/>
  <c r="M45" i="1"/>
  <c r="P45" i="1" s="1"/>
  <c r="Q45" i="1" s="1"/>
  <c r="R45" i="1" s="1"/>
  <c r="M44" i="1"/>
  <c r="P44" i="1" s="1"/>
  <c r="J44" i="1"/>
  <c r="P43" i="1"/>
  <c r="Q43" i="1" s="1"/>
  <c r="R43" i="1" s="1"/>
  <c r="M43" i="1"/>
  <c r="M42" i="1"/>
  <c r="P42" i="1" s="1"/>
  <c r="Q42" i="1" s="1"/>
  <c r="R42" i="1" s="1"/>
  <c r="P41" i="1"/>
  <c r="Q41" i="1" s="1"/>
  <c r="R41" i="1" s="1"/>
  <c r="M41" i="1"/>
  <c r="M40" i="1"/>
  <c r="P40" i="1" s="1"/>
  <c r="Q40" i="1" s="1"/>
  <c r="R40" i="1" s="1"/>
  <c r="G40" i="1"/>
  <c r="M39" i="1"/>
  <c r="P39" i="1" s="1"/>
  <c r="Q39" i="1" s="1"/>
  <c r="R39" i="1" s="1"/>
  <c r="M38" i="1"/>
  <c r="P38" i="1" s="1"/>
  <c r="Q38" i="1" s="1"/>
  <c r="R38" i="1" s="1"/>
  <c r="M37" i="1"/>
  <c r="P37" i="1" s="1"/>
  <c r="Q37" i="1" s="1"/>
  <c r="R37" i="1" s="1"/>
  <c r="M36" i="1"/>
  <c r="P36" i="1" s="1"/>
  <c r="Q36" i="1" s="1"/>
  <c r="R36" i="1" s="1"/>
  <c r="M35" i="1"/>
  <c r="P35" i="1" s="1"/>
  <c r="Q35" i="1" s="1"/>
  <c r="R35" i="1" s="1"/>
  <c r="M34" i="1"/>
  <c r="P34" i="1" s="1"/>
  <c r="Q34" i="1" s="1"/>
  <c r="R34" i="1" s="1"/>
  <c r="M33" i="1"/>
  <c r="P33" i="1" s="1"/>
  <c r="Q33" i="1" s="1"/>
  <c r="R33" i="1" s="1"/>
  <c r="M32" i="1"/>
  <c r="P32" i="1" s="1"/>
  <c r="Q32" i="1" s="1"/>
  <c r="R32" i="1" s="1"/>
  <c r="M31" i="1"/>
  <c r="P31" i="1" s="1"/>
  <c r="Q31" i="1" s="1"/>
  <c r="R31" i="1" s="1"/>
  <c r="L30" i="1"/>
  <c r="M30" i="1" s="1"/>
  <c r="P30" i="1" s="1"/>
  <c r="Q30" i="1" s="1"/>
  <c r="R30" i="1" s="1"/>
  <c r="J30" i="1"/>
  <c r="F30" i="1"/>
  <c r="J29" i="1"/>
  <c r="L29" i="1" s="1"/>
  <c r="H29" i="1"/>
  <c r="M28" i="1"/>
  <c r="P28" i="1" s="1"/>
  <c r="Q28" i="1" s="1"/>
  <c r="R28" i="1" s="1"/>
  <c r="M27" i="1"/>
  <c r="P27" i="1" s="1"/>
  <c r="Y27" i="1" s="1"/>
  <c r="G27" i="1"/>
  <c r="M26" i="1"/>
  <c r="P26" i="1" s="1"/>
  <c r="U26" i="1" s="1"/>
  <c r="M25" i="1"/>
  <c r="P25" i="1" s="1"/>
  <c r="U25" i="1" s="1"/>
  <c r="M24" i="1"/>
  <c r="P24" i="1" s="1"/>
  <c r="U24" i="1" s="1"/>
  <c r="J24" i="1"/>
  <c r="M23" i="1"/>
  <c r="P23" i="1" s="1"/>
  <c r="M22" i="1"/>
  <c r="N22" i="1" s="1"/>
  <c r="M21" i="1"/>
  <c r="P21" i="1" s="1"/>
  <c r="AA21" i="1" s="1"/>
  <c r="M20" i="1"/>
  <c r="K20" i="1"/>
  <c r="K19" i="1"/>
  <c r="M19" i="1" s="1"/>
  <c r="J19" i="1"/>
  <c r="M18" i="1"/>
  <c r="P18" i="1" s="1"/>
  <c r="M17" i="1"/>
  <c r="P17" i="1" s="1"/>
  <c r="J17" i="1"/>
  <c r="M16" i="1"/>
  <c r="P16" i="1" s="1"/>
  <c r="AA16" i="1" s="1"/>
  <c r="J16" i="1"/>
  <c r="M15" i="1"/>
  <c r="P15" i="1" s="1"/>
  <c r="U15" i="1" s="1"/>
  <c r="M14" i="1"/>
  <c r="P14" i="1" s="1"/>
  <c r="M13" i="1"/>
  <c r="P13" i="1" s="1"/>
  <c r="AA13" i="1" s="1"/>
  <c r="J13" i="1"/>
  <c r="K12" i="1"/>
  <c r="M12" i="1" s="1"/>
  <c r="P12" i="1" s="1"/>
  <c r="U12" i="1" s="1"/>
  <c r="M11" i="1"/>
  <c r="P11" i="1" s="1"/>
  <c r="Q11" i="1" s="1"/>
  <c r="R11" i="1" s="1"/>
  <c r="Q10" i="1"/>
  <c r="R10" i="1" s="1"/>
  <c r="M10" i="1"/>
  <c r="P10" i="1" s="1"/>
  <c r="M9" i="1"/>
  <c r="P9" i="1" s="1"/>
  <c r="M8" i="1"/>
  <c r="P8" i="1" s="1"/>
  <c r="AA8" i="1" s="1"/>
  <c r="M7" i="1"/>
  <c r="P7" i="1" s="1"/>
  <c r="M6" i="1"/>
  <c r="P6" i="1" s="1"/>
  <c r="M5" i="1"/>
  <c r="P5" i="1" s="1"/>
  <c r="J5" i="1"/>
  <c r="M4" i="1"/>
  <c r="P4" i="1" s="1"/>
  <c r="U4" i="1" s="1"/>
  <c r="M3" i="1"/>
  <c r="P3" i="1" s="1"/>
  <c r="AA3" i="1" s="1"/>
  <c r="M2" i="1"/>
  <c r="Q110" i="1" l="1"/>
  <c r="R110" i="1" s="1"/>
  <c r="U27" i="1"/>
  <c r="AA15" i="1"/>
  <c r="W110" i="1"/>
  <c r="AA25" i="1"/>
  <c r="Y15" i="1"/>
  <c r="U110" i="1"/>
  <c r="AA12" i="1"/>
  <c r="U114" i="1"/>
  <c r="W108" i="1"/>
  <c r="W25" i="1"/>
  <c r="Y12" i="1"/>
  <c r="U108" i="1"/>
  <c r="AA24" i="1"/>
  <c r="AA4" i="1"/>
  <c r="W27" i="1"/>
  <c r="Y24" i="1"/>
  <c r="Y4" i="1"/>
  <c r="Y25" i="1"/>
  <c r="Y107" i="1"/>
  <c r="U107" i="1"/>
  <c r="AA107" i="1"/>
  <c r="W107" i="1"/>
  <c r="AA116" i="1"/>
  <c r="W116" i="1"/>
  <c r="U116" i="1"/>
  <c r="Y116" i="1"/>
  <c r="U7" i="1"/>
  <c r="Y7" i="1"/>
  <c r="W7" i="1"/>
  <c r="AA7" i="1"/>
  <c r="Y113" i="1"/>
  <c r="AA113" i="1"/>
  <c r="U113" i="1"/>
  <c r="Q6" i="1"/>
  <c r="R6" i="1" s="1"/>
  <c r="U6" i="1"/>
  <c r="Y6" i="1"/>
  <c r="W6" i="1"/>
  <c r="U14" i="1"/>
  <c r="Y14" i="1"/>
  <c r="W14" i="1"/>
  <c r="Q17" i="1"/>
  <c r="R17" i="1" s="1"/>
  <c r="AA119" i="1"/>
  <c r="U119" i="1"/>
  <c r="W119" i="1"/>
  <c r="AA122" i="1"/>
  <c r="W122" i="1"/>
  <c r="U122" i="1"/>
  <c r="M174" i="1"/>
  <c r="P174" i="1" s="1"/>
  <c r="P173" i="1"/>
  <c r="Q173" i="1" s="1"/>
  <c r="Y122" i="1"/>
  <c r="U5" i="1"/>
  <c r="Y5" i="1"/>
  <c r="W5" i="1"/>
  <c r="U13" i="1"/>
  <c r="Y13" i="1"/>
  <c r="W13" i="1"/>
  <c r="Y21" i="1"/>
  <c r="W21" i="1"/>
  <c r="Q9" i="1"/>
  <c r="R9" i="1" s="1"/>
  <c r="U9" i="1"/>
  <c r="Y9" i="1"/>
  <c r="W9" i="1"/>
  <c r="U17" i="1"/>
  <c r="W17" i="1"/>
  <c r="Y17" i="1"/>
  <c r="U23" i="1"/>
  <c r="Y23" i="1"/>
  <c r="W23" i="1"/>
  <c r="Y119" i="1"/>
  <c r="W113" i="1"/>
  <c r="Y26" i="1"/>
  <c r="AA23" i="1"/>
  <c r="AA6" i="1"/>
  <c r="U3" i="1"/>
  <c r="W3" i="1"/>
  <c r="Y3" i="1"/>
  <c r="Q8" i="1"/>
  <c r="R8" i="1" s="1"/>
  <c r="U8" i="1"/>
  <c r="Y8" i="1"/>
  <c r="W8" i="1"/>
  <c r="U16" i="1"/>
  <c r="Y16" i="1"/>
  <c r="W16" i="1"/>
  <c r="Y109" i="1"/>
  <c r="U109" i="1"/>
  <c r="AA109" i="1"/>
  <c r="H171" i="1"/>
  <c r="Q18" i="1"/>
  <c r="R18" i="1" s="1"/>
  <c r="W18" i="1"/>
  <c r="AA18" i="1"/>
  <c r="Y18" i="1"/>
  <c r="U167" i="1"/>
  <c r="Q167" i="1"/>
  <c r="R167" i="1" s="1"/>
  <c r="AA17" i="1"/>
  <c r="AA14" i="1"/>
  <c r="AA9" i="1"/>
  <c r="AA5" i="1"/>
  <c r="Q44" i="1"/>
  <c r="R44" i="1" s="1"/>
  <c r="Q54" i="1"/>
  <c r="R54" i="1" s="1"/>
  <c r="Q114" i="1"/>
  <c r="R114" i="1" s="1"/>
  <c r="Q137" i="1"/>
  <c r="R137" i="1" s="1"/>
  <c r="L193" i="1"/>
  <c r="AA110" i="1"/>
  <c r="AA108" i="1"/>
  <c r="AA27" i="1"/>
  <c r="AB26" i="1"/>
  <c r="AA26" i="1" s="1"/>
  <c r="X26" i="1"/>
  <c r="W26" i="1" s="1"/>
  <c r="W24" i="1"/>
  <c r="W15" i="1"/>
  <c r="W12" i="1"/>
  <c r="W4" i="1"/>
  <c r="Q71" i="1"/>
  <c r="R71" i="1" s="1"/>
  <c r="H193" i="1"/>
  <c r="K250" i="1"/>
  <c r="Q46" i="1"/>
  <c r="R46" i="1" s="1"/>
  <c r="L92" i="1"/>
  <c r="M92" i="1" s="1"/>
  <c r="P92" i="1" s="1"/>
  <c r="Q92" i="1" s="1"/>
  <c r="R92" i="1" s="1"/>
  <c r="M86" i="1"/>
  <c r="P86" i="1" s="1"/>
  <c r="Q86" i="1" s="1"/>
  <c r="R86" i="1" s="1"/>
  <c r="N19" i="1"/>
  <c r="P19" i="1" s="1"/>
  <c r="Q174" i="1"/>
  <c r="R173" i="1"/>
  <c r="R174" i="1" s="1"/>
  <c r="F193" i="1"/>
  <c r="G193" i="1"/>
  <c r="O193" i="1"/>
  <c r="O211" i="1" s="1"/>
  <c r="O212" i="1" s="1"/>
  <c r="G171" i="1"/>
  <c r="Q75" i="1"/>
  <c r="R75" i="1" s="1"/>
  <c r="I193" i="1"/>
  <c r="I211" i="1" s="1"/>
  <c r="I212" i="1" s="1"/>
  <c r="P22" i="1"/>
  <c r="Q22" i="1" s="1"/>
  <c r="R22" i="1" s="1"/>
  <c r="F171" i="1"/>
  <c r="F211" i="1" s="1"/>
  <c r="F212" i="1" s="1"/>
  <c r="R180" i="1"/>
  <c r="J193" i="1"/>
  <c r="Q13" i="1"/>
  <c r="R13" i="1" s="1"/>
  <c r="L171" i="1"/>
  <c r="L208" i="1" s="1"/>
  <c r="M29" i="1"/>
  <c r="P29" i="1" s="1"/>
  <c r="Q29" i="1" s="1"/>
  <c r="R29" i="1" s="1"/>
  <c r="Q3" i="1"/>
  <c r="R3" i="1" s="1"/>
  <c r="Q27" i="1"/>
  <c r="R27" i="1" s="1"/>
  <c r="Q4" i="1"/>
  <c r="R4" i="1" s="1"/>
  <c r="Q15" i="1"/>
  <c r="R15" i="1" s="1"/>
  <c r="Q25" i="1"/>
  <c r="R25" i="1" s="1"/>
  <c r="Q26" i="1"/>
  <c r="R26" i="1" s="1"/>
  <c r="Q16" i="1"/>
  <c r="R16" i="1" s="1"/>
  <c r="Q14" i="1"/>
  <c r="R14" i="1" s="1"/>
  <c r="Q24" i="1"/>
  <c r="R24" i="1" s="1"/>
  <c r="Q23" i="1"/>
  <c r="R23" i="1" s="1"/>
  <c r="Q21" i="1"/>
  <c r="R21" i="1" s="1"/>
  <c r="D214" i="1"/>
  <c r="Q47" i="1"/>
  <c r="R47" i="1" s="1"/>
  <c r="Q7" i="1"/>
  <c r="R7" i="1" s="1"/>
  <c r="N20" i="1"/>
  <c r="P20" i="1" s="1"/>
  <c r="Q107" i="1"/>
  <c r="R107" i="1" s="1"/>
  <c r="Q108" i="1"/>
  <c r="R108" i="1" s="1"/>
  <c r="Q109" i="1"/>
  <c r="R109" i="1" s="1"/>
  <c r="Q119" i="1"/>
  <c r="R119" i="1" s="1"/>
  <c r="Q5" i="1"/>
  <c r="R5" i="1" s="1"/>
  <c r="J171" i="1"/>
  <c r="Q12" i="1"/>
  <c r="R12" i="1" s="1"/>
  <c r="P2" i="1"/>
  <c r="K171" i="1"/>
  <c r="Q111" i="1"/>
  <c r="R111" i="1" s="1"/>
  <c r="Q116" i="1"/>
  <c r="R116" i="1" s="1"/>
  <c r="Q113" i="1"/>
  <c r="R113" i="1" s="1"/>
  <c r="Q122" i="1"/>
  <c r="R122" i="1" s="1"/>
  <c r="M181" i="1"/>
  <c r="P181" i="1" s="1"/>
  <c r="P176" i="1"/>
  <c r="Q176" i="1" s="1"/>
  <c r="Q182" i="1"/>
  <c r="Q195" i="1"/>
  <c r="L206" i="1"/>
  <c r="P201" i="1"/>
  <c r="H211" i="1" l="1"/>
  <c r="H212" i="1" s="1"/>
  <c r="K251" i="1"/>
  <c r="AA20" i="1"/>
  <c r="W20" i="1"/>
  <c r="Y20" i="1"/>
  <c r="Y176" i="1" s="1"/>
  <c r="Q19" i="1"/>
  <c r="R19" i="1" s="1"/>
  <c r="Y19" i="1"/>
  <c r="AA19" i="1"/>
  <c r="AA176" i="1" s="1"/>
  <c r="W19" i="1"/>
  <c r="W176" i="1" s="1"/>
  <c r="K208" i="1"/>
  <c r="U22" i="1"/>
  <c r="W22" i="1"/>
  <c r="Y22" i="1"/>
  <c r="AA22" i="1"/>
  <c r="U2" i="1"/>
  <c r="Y2" i="1"/>
  <c r="Y171" i="1" s="1"/>
  <c r="Y181" i="1" s="1"/>
  <c r="W2" i="1"/>
  <c r="AA2" i="1"/>
  <c r="U176" i="1"/>
  <c r="L210" i="1"/>
  <c r="L211" i="1" s="1"/>
  <c r="L212" i="1" s="1"/>
  <c r="K215" i="1"/>
  <c r="J211" i="1"/>
  <c r="J212" i="1" s="1"/>
  <c r="N171" i="1"/>
  <c r="P171" i="1" s="1"/>
  <c r="M171" i="1"/>
  <c r="G211" i="1"/>
  <c r="G212" i="1" s="1"/>
  <c r="Q20" i="1"/>
  <c r="R20" i="1" s="1"/>
  <c r="D213" i="1"/>
  <c r="D215" i="1" s="1"/>
  <c r="D217" i="1" s="1"/>
  <c r="Q201" i="1"/>
  <c r="M208" i="1"/>
  <c r="R182" i="1"/>
  <c r="R192" i="1" s="1"/>
  <c r="R195" i="1"/>
  <c r="R199" i="1" s="1"/>
  <c r="Q181" i="1"/>
  <c r="R181" i="1" s="1"/>
  <c r="R176" i="1"/>
  <c r="Q2" i="1"/>
  <c r="U171" i="1" l="1"/>
  <c r="U181" i="1" s="1"/>
  <c r="N208" i="1"/>
  <c r="AB176" i="1"/>
  <c r="AA171" i="1"/>
  <c r="K197" i="1" s="1"/>
  <c r="W171" i="1"/>
  <c r="W181" i="1" s="1"/>
  <c r="N211" i="1"/>
  <c r="Q171" i="1"/>
  <c r="R171" i="1" s="1"/>
  <c r="R2" i="1"/>
  <c r="K204" i="1"/>
  <c r="R201" i="1"/>
  <c r="R206" i="1" s="1"/>
  <c r="P208" i="1"/>
  <c r="N212" i="1"/>
  <c r="R193" i="1"/>
  <c r="K190" i="1" l="1"/>
  <c r="K192" i="1" s="1"/>
  <c r="K193" i="1" s="1"/>
  <c r="AA181" i="1"/>
  <c r="AB171" i="1"/>
  <c r="K210" i="1" s="1"/>
  <c r="M210" i="1" s="1"/>
  <c r="K199" i="1"/>
  <c r="M197" i="1"/>
  <c r="K206" i="1"/>
  <c r="M204" i="1"/>
  <c r="Q208" i="1"/>
  <c r="P214" i="1"/>
  <c r="M190" i="1" l="1"/>
  <c r="K211" i="1"/>
  <c r="M211" i="1" s="1"/>
  <c r="M212" i="1" s="1"/>
  <c r="P204" i="1"/>
  <c r="M206" i="1"/>
  <c r="P197" i="1"/>
  <c r="M199" i="1"/>
  <c r="P210" i="1"/>
  <c r="P190" i="1"/>
  <c r="M192" i="1"/>
  <c r="M193" i="1" s="1"/>
  <c r="K212" i="1" l="1"/>
  <c r="Q197" i="1"/>
  <c r="P199" i="1"/>
  <c r="P200" i="1" s="1"/>
  <c r="Q190" i="1"/>
  <c r="P192" i="1"/>
  <c r="P193" i="1" s="1"/>
  <c r="Q210" i="1"/>
  <c r="Q204" i="1"/>
  <c r="P206" i="1"/>
  <c r="R204" i="1" l="1"/>
  <c r="Q206" i="1"/>
  <c r="T173" i="1"/>
  <c r="P211" i="1"/>
  <c r="P194" i="1"/>
  <c r="R190" i="1"/>
  <c r="Q192" i="1"/>
  <c r="Q193" i="1" s="1"/>
  <c r="D221" i="1"/>
  <c r="P215" i="1"/>
  <c r="P207" i="1"/>
  <c r="R197" i="1"/>
  <c r="Q199" i="1"/>
  <c r="L215" i="1" l="1"/>
  <c r="L216" i="1" s="1"/>
  <c r="L217" i="1" s="1"/>
  <c r="Q211" i="1"/>
  <c r="Q212" i="1" s="1"/>
  <c r="P2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E2C10CCB-60B7-A540-AB8E-4388E79BA31B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ID#AAAAL-m4404
</t>
        </r>
        <r>
          <rPr>
            <sz val="11"/>
            <color rgb="FF000000"/>
            <rFont val="Arial"/>
            <family val="2"/>
          </rPr>
          <t xml:space="preserve">Patrick Duggan    (2021-04-15 21:38:36)
</t>
        </r>
        <r>
          <rPr>
            <sz val="11"/>
            <color rgb="FF000000"/>
            <rFont val="Arial"/>
            <family val="2"/>
          </rPr>
          <t>04/12 adjusted per Treasurer at Fincom meeting</t>
        </r>
      </text>
    </comment>
    <comment ref="J1" authorId="0" shapeId="0" xr:uid="{970BAEE0-5A7D-1849-B70F-F25F59FDE951}">
      <text>
        <r>
          <rPr>
            <sz val="11"/>
            <color theme="1"/>
            <rFont val="Arial"/>
            <family val="2"/>
          </rPr>
          <t>======
ID#AAAALZVMETk
Beth Moseley    (2021-02-22 23:56:22)
Updated to include STM</t>
        </r>
      </text>
    </comment>
    <comment ref="L2" authorId="0" shapeId="0" xr:uid="{5AD07A0D-63AA-CC40-BF68-812714B49C83}">
      <text>
        <r>
          <rPr>
            <sz val="11"/>
            <color theme="1"/>
            <rFont val="Arial"/>
            <family val="2"/>
          </rPr>
          <t>======
ID#AAAALZVMES8
Beth Moseley    (2021-02-22 23:56:22)
remove civicplus and dot gov expenses - moved to IT expense line</t>
        </r>
      </text>
    </comment>
    <comment ref="G11" authorId="0" shapeId="0" xr:uid="{01FB4D60-6086-F148-A8FB-C263773B57BA}">
      <text>
        <r>
          <rPr>
            <sz val="11"/>
            <color theme="1"/>
            <rFont val="Arial"/>
            <family val="2"/>
          </rPr>
          <t>======
ID#AAAALZVMESs
Beth Moseley    (2021-02-22 23:56:22)
Turned back 36,263.09</t>
        </r>
      </text>
    </comment>
    <comment ref="Q11" authorId="0" shapeId="0" xr:uid="{811F919D-62E6-5A4B-B309-EBEF4B3AF21F}">
      <text>
        <r>
          <rPr>
            <sz val="11"/>
            <color theme="1"/>
            <rFont val="Arial"/>
            <family val="2"/>
          </rPr>
          <t>======
ID#AAAALZVMESo
Beth Moseley    (2021-02-22 23:56:22)
this additional $200k was a STM vote from FC</t>
        </r>
      </text>
    </comment>
    <comment ref="L12" authorId="0" shapeId="0" xr:uid="{CCD66644-6D1B-DF4A-93A2-3F096F065554}">
      <text>
        <r>
          <rPr>
            <sz val="11"/>
            <color theme="1"/>
            <rFont val="Arial"/>
            <family val="2"/>
          </rPr>
          <t>======
ID#AAAALZVMEVo
Beth Moseley    (2021-02-22 23:56:22)
rounding</t>
        </r>
      </text>
    </comment>
    <comment ref="L13" authorId="0" shapeId="0" xr:uid="{5AF77167-2847-4A43-9E69-7A622B8CF05F}">
      <text>
        <r>
          <rPr>
            <sz val="11"/>
            <color theme="1"/>
            <rFont val="Arial"/>
            <family val="2"/>
          </rPr>
          <t>======
ID#AAAALZVMERg
Beth Moseley    (2021-02-22 23:56:22)
rounding</t>
        </r>
      </text>
    </comment>
    <comment ref="N19" authorId="0" shapeId="0" xr:uid="{7505E357-E7DF-B84D-87B9-DA2F478D5274}">
      <text>
        <r>
          <rPr>
            <sz val="11"/>
            <color theme="1"/>
            <rFont val="Arial"/>
            <family val="2"/>
          </rPr>
          <t>======
ID#AAAALZVMERI
Beth Moseley    (2021-02-22 23:56:22)
to bring to actual contracted</t>
        </r>
      </text>
    </comment>
    <comment ref="N20" authorId="0" shapeId="0" xr:uid="{4770748D-1311-4B49-850B-17C5878A9DDC}">
      <text>
        <r>
          <rPr>
            <sz val="11"/>
            <color theme="1"/>
            <rFont val="Arial"/>
            <family val="2"/>
          </rPr>
          <t>======
ID#AAAALZVMEVI
Beth Moseley    (2021-02-22 23:56:22)
to bring to contracted actual</t>
        </r>
      </text>
    </comment>
    <comment ref="L21" authorId="0" shapeId="0" xr:uid="{398B7A24-998E-9F46-99F4-DC2AEFC529AC}">
      <text>
        <r>
          <rPr>
            <sz val="11"/>
            <color theme="1"/>
            <rFont val="Arial"/>
            <family val="2"/>
          </rPr>
          <t>======
ID#AAAALwviO0o
Patrick Duggan    (2021-04-07 23:42:49)
04/7  adjust budget, per 3/29 email</t>
        </r>
      </text>
    </comment>
    <comment ref="N21" authorId="0" shapeId="0" xr:uid="{08AA2AAB-B3F5-BE42-9C2E-D666E9F4CEF2}">
      <text>
        <r>
          <rPr>
            <sz val="11"/>
            <color theme="1"/>
            <rFont val="Arial"/>
            <family val="2"/>
          </rPr>
          <t>======
ID#AAAALvchDpg
Patrick Duggan    (2021-03-29 00:44:28)
3/28 submitted  inaccurate budget  that was 10k  too high.   Reduced 10K to bring in line with historical spending</t>
        </r>
      </text>
    </comment>
    <comment ref="N22" authorId="0" shapeId="0" xr:uid="{E2E2CC00-8E09-4548-B157-8A7031ED427F}">
      <text>
        <r>
          <rPr>
            <sz val="11"/>
            <color theme="1"/>
            <rFont val="Arial"/>
            <family val="2"/>
          </rPr>
          <t>======
ID#AAAALZVMER0
Beth Moseley    (2021-02-22 23:56:22)
Brought down to actual voted at ATM salary</t>
        </r>
      </text>
    </comment>
    <comment ref="G27" authorId="0" shapeId="0" xr:uid="{3A5CC653-985E-CD41-BFC2-9C26502F962F}">
      <text>
        <r>
          <rPr>
            <sz val="11"/>
            <color theme="1"/>
            <rFont val="Arial"/>
            <family val="2"/>
          </rPr>
          <t>======
ID#AAAALZVMEUc
Beth Moseley    (2021-02-22 23:56:22)
Includes OPEB Actuarial</t>
        </r>
      </text>
    </comment>
    <comment ref="L27" authorId="0" shapeId="0" xr:uid="{B51316D3-B4FD-934A-9A0D-9D6687CE3536}">
      <text>
        <r>
          <rPr>
            <sz val="11"/>
            <color theme="1"/>
            <rFont val="Arial"/>
            <family val="2"/>
          </rPr>
          <t>======
ID#AAAAL-m441Q
Patrick Duggan    (2021-04-15 21:45:20)
04/15  updated per treasure budget 3/8</t>
        </r>
      </text>
    </comment>
    <comment ref="L29" authorId="0" shapeId="0" xr:uid="{54E7C43F-3E67-9240-9DDE-4E1A154C3594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ID#AAAALZVMEVU
</t>
        </r>
        <r>
          <rPr>
            <sz val="11"/>
            <color rgb="FF000000"/>
            <rFont val="Arial"/>
            <family val="2"/>
          </rPr>
          <t xml:space="preserve">Beth Moseley    (2021-02-22 23:56:22)
</t>
        </r>
        <r>
          <rPr>
            <sz val="11"/>
            <color rgb="FF000000"/>
            <rFont val="Arial"/>
            <family val="2"/>
          </rPr>
          <t>incorrect submission</t>
        </r>
      </text>
    </comment>
    <comment ref="L30" authorId="0" shapeId="0" xr:uid="{8EE428E0-D0D4-AD40-A9E4-B65BA66280AF}">
      <text>
        <r>
          <rPr>
            <sz val="11"/>
            <color theme="1"/>
            <rFont val="Arial"/>
            <family val="2"/>
          </rPr>
          <t>======
ID#AAAALZVMESw
Beth Moseley    (2021-02-22 23:56:22)
amount submitted was incorrect - did not include stipends owed</t>
        </r>
      </text>
    </comment>
    <comment ref="G40" authorId="0" shapeId="0" xr:uid="{33A82A56-077B-E647-B6D7-78DB93D9B8FB}">
      <text>
        <r>
          <rPr>
            <sz val="11"/>
            <color theme="1"/>
            <rFont val="Arial"/>
            <family val="2"/>
          </rPr>
          <t>======
ID#AAAALZVMESQ
Beth Moseley    (2021-02-22 23:56:22)
includes article for custodial</t>
        </r>
      </text>
    </comment>
    <comment ref="L74" authorId="0" shapeId="0" xr:uid="{170152CC-A724-604B-B170-C71BD53AA429}">
      <text>
        <r>
          <rPr>
            <sz val="11"/>
            <color theme="1"/>
            <rFont val="Arial"/>
            <family val="2"/>
          </rPr>
          <t>======
ID#AAAALZVMEVM
Beth Moseley    (2021-02-22 23:56:22)
increased - was not enough to cover once broken down</t>
        </r>
      </text>
    </comment>
    <comment ref="O81" authorId="0" shapeId="0" xr:uid="{DD2F4D1F-659C-9C4E-B6F8-EF311D305C39}">
      <text>
        <r>
          <rPr>
            <sz val="11"/>
            <color theme="1"/>
            <rFont val="Arial"/>
            <family val="2"/>
          </rPr>
          <t>======
ID#AAAALZVMEUk
Beth Moseley    (2021-02-22 23:56:22)
Per tim / BOS wants this item to be funded at $75,000</t>
        </r>
      </text>
    </comment>
    <comment ref="O82" authorId="0" shapeId="0" xr:uid="{B482EFDE-E82A-6348-B93C-906710731984}">
      <text>
        <r>
          <rPr>
            <sz val="11"/>
            <color theme="1"/>
            <rFont val="Arial"/>
            <family val="2"/>
          </rPr>
          <t>======
ID#AAAALZVMESU
Beth Moseley    (2021-02-22 23:56:22)
Per tim / inspectional director would be a dual role, there would be no need for this sep. position</t>
        </r>
      </text>
    </comment>
    <comment ref="L86" authorId="0" shapeId="0" xr:uid="{57068C0C-EFCE-0F48-A741-F1688F04B391}">
      <text>
        <r>
          <rPr>
            <sz val="11"/>
            <color theme="1"/>
            <rFont val="Arial"/>
            <family val="2"/>
          </rPr>
          <t>======
ID#AAAALZVMEUg
Beth Moseley    (2021-02-22 23:56:22)
no longer a payroll position</t>
        </r>
      </text>
    </comment>
    <comment ref="L89" authorId="0" shapeId="0" xr:uid="{E69CD982-EB1F-7E49-9E5C-1D651A412665}">
      <text>
        <r>
          <rPr>
            <sz val="11"/>
            <color theme="1"/>
            <rFont val="Arial"/>
            <family val="2"/>
          </rPr>
          <t>======
ID#AAAAL19y_aM
Patrick Duggan    (2021-03-22 21:36:15)
3/22 PJD Changed due to promotion, see 2/23 email</t>
        </r>
      </text>
    </comment>
    <comment ref="L92" authorId="0" shapeId="0" xr:uid="{FBD5C79B-78EC-F743-81C8-5E269E5CF53D}">
      <text>
        <r>
          <rPr>
            <sz val="11"/>
            <color theme="1"/>
            <rFont val="Arial"/>
            <family val="2"/>
          </rPr>
          <t>======
ID#AAAALZVMEWE
Beth Moseley    (2021-02-22 23:56:22)
for nurse - now an expense - paying Randolph</t>
        </r>
      </text>
    </comment>
    <comment ref="H103" authorId="0" shapeId="0" xr:uid="{72BBDC8F-32E8-6244-A259-EE909E917BAA}">
      <text>
        <r>
          <rPr>
            <sz val="11"/>
            <color theme="1"/>
            <rFont val="Arial"/>
            <family val="2"/>
          </rPr>
          <t>======
ID#AAAALZVMERY
Beth Moseley    (2021-02-22 23:56:22)
from blue hills 2/1/18</t>
        </r>
      </text>
    </comment>
    <comment ref="K103" authorId="0" shapeId="0" xr:uid="{8739818D-9F12-9141-9351-11BFF40762BE}">
      <text>
        <r>
          <rPr>
            <sz val="11"/>
            <color theme="1"/>
            <rFont val="Arial"/>
            <family val="2"/>
          </rPr>
          <t>======
ID#AAAALZVMEUo
Beth Moseley    (2021-02-22 23:56:22)
Waiting on FY22 actual - 3% based on Erik Erskine - board member for blue hills 1/25/21</t>
        </r>
      </text>
    </comment>
    <comment ref="K104" authorId="0" shapeId="0" xr:uid="{24A0DD56-79F2-4E4D-95F2-6DBA8428936A}">
      <text>
        <r>
          <rPr>
            <sz val="11"/>
            <color theme="1"/>
            <rFont val="Arial"/>
            <family val="2"/>
          </rPr>
          <t>======
ID#AAAALZVMETI
Beth Moseley    (2021-02-22 23:56:22)
$2k a student / 3 current students, 2 graduating, 5 applied, budgeting for a total of 6.
waiting on final - 1/25/21</t>
        </r>
      </text>
    </comment>
    <comment ref="U107" authorId="0" shapeId="0" xr:uid="{9BB5A0FB-F017-A548-98BA-464966950C8E}">
      <text>
        <r>
          <rPr>
            <sz val="11"/>
            <color theme="1"/>
            <rFont val="Arial"/>
            <family val="2"/>
          </rPr>
          <t>======
ID#AAAALZVMETA
Beth Moseley    (2021-02-22 23:56:22)
paid directly</t>
        </r>
      </text>
    </comment>
    <comment ref="U108" authorId="0" shapeId="0" xr:uid="{417E285C-8796-684C-BF59-8CC830092C6A}">
      <text>
        <r>
          <rPr>
            <sz val="11"/>
            <color theme="1"/>
            <rFont val="Arial"/>
            <family val="2"/>
          </rPr>
          <t>======
ID#AAAALZVMETw
Beth Moseley    (2021-02-22 23:56:22)
receives a stipend directly</t>
        </r>
      </text>
    </comment>
    <comment ref="U109" authorId="0" shapeId="0" xr:uid="{FE3AD0A0-BF4A-2C44-B714-1E518A5EC4BE}">
      <text>
        <r>
          <rPr>
            <sz val="11"/>
            <color theme="1"/>
            <rFont val="Arial"/>
            <family val="2"/>
          </rPr>
          <t>======
ID#AAAALZVMETE
Beth Moseley    (2021-02-22 23:56:22)
Overtime only directly paid from JW</t>
        </r>
      </text>
    </comment>
    <comment ref="U110" authorId="0" shapeId="0" xr:uid="{48EE272F-8374-2A47-A999-6BB468E44654}">
      <text>
        <r>
          <rPr>
            <sz val="11"/>
            <color theme="1"/>
            <rFont val="Arial"/>
            <family val="2"/>
          </rPr>
          <t>======
ID#AAAALZVMEVY
Beth Moseley    (2021-02-22 23:56:22)
Reporting for states / monthly items</t>
        </r>
      </text>
    </comment>
    <comment ref="U111" authorId="0" shapeId="0" xr:uid="{F2B8F113-A78D-194D-A745-D8FDE31B5175}">
      <text>
        <r>
          <rPr>
            <sz val="11"/>
            <color theme="1"/>
            <rFont val="Arial"/>
            <family val="2"/>
          </rPr>
          <t>======
ID#AAAALZVMESg
Beth Moseley    (2021-02-22 23:56:22)
overtime paid directly from JW</t>
        </r>
      </text>
    </comment>
    <comment ref="AA111" authorId="0" shapeId="0" xr:uid="{92A3DE9A-45F8-2448-BAB7-0772F0E76FB1}">
      <text>
        <r>
          <rPr>
            <sz val="11"/>
            <color theme="1"/>
            <rFont val="Arial"/>
            <family val="2"/>
          </rPr>
          <t>======
ID#AAAALZVMEVk
Beth Moseley    (2021-02-22 23:56:22)
Yard waste etc.</t>
        </r>
      </text>
    </comment>
    <comment ref="L116" authorId="0" shapeId="0" xr:uid="{D1A12F7D-1A7D-9C46-A9DC-4E8C443AD137}">
      <text>
        <r>
          <rPr>
            <sz val="11"/>
            <color theme="1"/>
            <rFont val="Arial"/>
            <family val="2"/>
          </rPr>
          <t>======
ID#AAAALZVMET8
Beth Moseley    (2021-02-22 23:56:22)
decrease for MX bills - moving to IT Expense</t>
        </r>
      </text>
    </comment>
    <comment ref="U119" authorId="0" shapeId="0" xr:uid="{E65C72FC-C99C-624F-B00B-9D303018A15C}">
      <text>
        <r>
          <rPr>
            <sz val="11"/>
            <color theme="1"/>
            <rFont val="Arial"/>
            <family val="2"/>
          </rPr>
          <t>======
ID#AAAALZVMEUQ
Beth Moseley    (2021-02-22 23:56:22)
sed basin cleaning - 1x a quarter</t>
        </r>
      </text>
    </comment>
    <comment ref="AA119" authorId="0" shapeId="0" xr:uid="{78F7855D-BF79-3B42-A267-6FBC474665FA}">
      <text>
        <r>
          <rPr>
            <sz val="11"/>
            <color theme="1"/>
            <rFont val="Arial"/>
            <family val="2"/>
          </rPr>
          <t>======
ID#AAAALZVMERw
Beth Moseley    (2021-02-22 23:56:22)
Christmas tree pickup/yard waste</t>
        </r>
      </text>
    </comment>
    <comment ref="L124" authorId="0" shapeId="0" xr:uid="{39CD3CD9-91EF-3941-9AC1-4734CCCD68A4}">
      <text>
        <r>
          <rPr>
            <sz val="11"/>
            <color theme="1"/>
            <rFont val="Arial"/>
            <family val="2"/>
          </rPr>
          <t>======
ID#AAAAL19y_ac
Patrick Duggan    (2021-03-22 21:37:19)
3/22 pjd reduced $5k per new budget rcvd 3/11</t>
        </r>
      </text>
    </comment>
    <comment ref="L125" authorId="0" shapeId="0" xr:uid="{0CEF035B-C4CE-E643-A79B-6AE561C0D2D8}">
      <text>
        <r>
          <rPr>
            <sz val="11"/>
            <color theme="1"/>
            <rFont val="Arial"/>
            <family val="2"/>
          </rPr>
          <t>======
ID#AAAAL19y_as
Patrick Duggan    (2021-03-22 21:37:56)
3/22 PJD  reduced $10k per new budget rcvd 3/11</t>
        </r>
      </text>
    </comment>
    <comment ref="L129" authorId="0" shapeId="0" xr:uid="{7CBEB4EC-08C7-6344-A4A7-D628FCE0957C}">
      <text>
        <r>
          <rPr>
            <sz val="11"/>
            <color theme="1"/>
            <rFont val="Arial"/>
            <family val="2"/>
          </rPr>
          <t>======
ID#AAAAL19y_a0
Patrick Duggan    (2021-03-22 21:38:35)
3/22 PJD- added $20K per new budget rcvd 3/11</t>
        </r>
      </text>
    </comment>
    <comment ref="L137" authorId="0" shapeId="0" xr:uid="{333C8993-6213-BA4A-8B6B-DAD7F5A1397E}">
      <text>
        <r>
          <rPr>
            <sz val="11"/>
            <color theme="1"/>
            <rFont val="Arial"/>
            <family val="2"/>
          </rPr>
          <t>======
ID#AAAALZVMEV0
Beth Moseley    (2021-02-22 23:56:22)
never received</t>
        </r>
      </text>
    </comment>
    <comment ref="L141" authorId="0" shapeId="0" xr:uid="{906C1569-B889-2449-8A2C-AFEB5BDB8B49}">
      <text>
        <r>
          <rPr>
            <sz val="11"/>
            <color theme="1"/>
            <rFont val="Arial"/>
            <family val="2"/>
          </rPr>
          <t>======
ID#AAAAL19y_a4
Patrick Duggan    (2021-03-22 21:39:42)
3/22 PJD updated per new budget recvd on 3/22 due to new contract</t>
        </r>
      </text>
    </comment>
    <comment ref="L142" authorId="0" shapeId="0" xr:uid="{4C9F1A75-61AF-954B-87B2-C428464CA45B}">
      <text>
        <r>
          <rPr>
            <sz val="11"/>
            <color theme="1"/>
            <rFont val="Arial"/>
            <family val="2"/>
          </rPr>
          <t>======
ID#AAAAL19y_bA
Patrick Duggan    (2021-03-22 21:40:11)
3/22 PJD updated per new budget recvd on 3/22</t>
        </r>
      </text>
    </comment>
    <comment ref="L144" authorId="0" shapeId="0" xr:uid="{EBE4F079-39AD-1B4B-8E89-7DDFF289ADC8}">
      <text>
        <r>
          <rPr>
            <sz val="11"/>
            <color theme="1"/>
            <rFont val="Arial"/>
            <family val="2"/>
          </rPr>
          <t>======
ID#AAAAL19y_bE
Patrick Duggan    (2021-03-22 21:40:18)
3/22 PJD updated per new budget recvd on 3/22</t>
        </r>
      </text>
    </comment>
    <comment ref="L147" authorId="0" shapeId="0" xr:uid="{173CF297-3907-614D-A950-6432872FA6B1}">
      <text>
        <r>
          <rPr>
            <sz val="11"/>
            <color theme="1"/>
            <rFont val="Arial"/>
            <family val="2"/>
          </rPr>
          <t>======
ID#AAAALZVMEU0
Beth Moseley    (2021-02-22 23:56:22)
never received</t>
        </r>
      </text>
    </comment>
    <comment ref="F164" authorId="0" shapeId="0" xr:uid="{4EB7D17C-ABB0-A44B-A14D-3F040B86EE18}">
      <text>
        <r>
          <rPr>
            <sz val="11"/>
            <color theme="1"/>
            <rFont val="Arial"/>
            <family val="2"/>
          </rPr>
          <t>======
ID#AAAALZVMEU8
Beth Moseley    (2021-02-22 23:56:22)
$30K CAP</t>
        </r>
      </text>
    </comment>
    <comment ref="G173" authorId="0" shapeId="0" xr:uid="{D87C2243-00E4-9041-9066-B5E3B940A98B}">
      <text>
        <r>
          <rPr>
            <sz val="11"/>
            <color theme="1"/>
            <rFont val="Arial"/>
            <family val="2"/>
          </rPr>
          <t>======
ID#AAAALZVMEUM
Beth Moseley    (2021-02-22 23:56:22)
WAS IN gf</t>
        </r>
      </text>
    </comment>
    <comment ref="H173" authorId="0" shapeId="0" xr:uid="{22AE2510-CEFE-B747-8FD9-37D46075B3C4}">
      <text>
        <r>
          <rPr>
            <sz val="11"/>
            <color theme="1"/>
            <rFont val="Arial"/>
            <family val="2"/>
          </rPr>
          <t>======
ID#AAAALZVMERc
Beth Moseley    (2021-02-22 23:56:22)
WAS IN gf</t>
        </r>
      </text>
    </comment>
    <comment ref="G186" authorId="0" shapeId="0" xr:uid="{06CD2562-2BDC-8640-877D-9D6EF67FB6A4}">
      <text>
        <r>
          <rPr>
            <sz val="11"/>
            <color theme="1"/>
            <rFont val="Arial"/>
            <family val="2"/>
          </rPr>
          <t>======
ID#AAAALZVMEVQ
Beth Moseley    (2021-02-22 23:56:22)
MWRA 08-13 PAID FROM WTR</t>
        </r>
      </text>
    </comment>
    <comment ref="J208" authorId="0" shapeId="0" xr:uid="{71B3060F-89EC-8E40-B647-AF4AFB3CCE34}">
      <text>
        <r>
          <rPr>
            <sz val="11"/>
            <color theme="1"/>
            <rFont val="Arial"/>
            <family val="2"/>
          </rPr>
          <t>======
ID#AAAALZVMETc
Beth Moseley    (2021-02-22 23:56:22)
from FY21 approp proof</t>
        </r>
      </text>
    </comment>
    <comment ref="E216" authorId="0" shapeId="0" xr:uid="{9BD7E902-4E90-E84E-8E00-18407E3497FC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ID#AAAALZVMEVw
</t>
        </r>
        <r>
          <rPr>
            <sz val="11"/>
            <color rgb="FF000000"/>
            <rFont val="Arial"/>
            <family val="2"/>
          </rPr>
          <t xml:space="preserve">Beth Moseley    (2021-02-22 23:56:22)
</t>
        </r>
        <r>
          <rPr>
            <sz val="11"/>
            <color rgb="FF000000"/>
            <rFont val="Arial"/>
            <family val="2"/>
          </rPr>
          <t>Based on retirement code c report from payroll system for school 7/1/19-6/30/20</t>
        </r>
      </text>
    </comment>
  </commentList>
</comments>
</file>

<file path=xl/sharedStrings.xml><?xml version="1.0" encoding="utf-8"?>
<sst xmlns="http://schemas.openxmlformats.org/spreadsheetml/2006/main" count="886" uniqueCount="475">
  <si>
    <t xml:space="preserve">  </t>
  </si>
  <si>
    <t>Dept</t>
  </si>
  <si>
    <t>Type</t>
  </si>
  <si>
    <t>Account Number</t>
  </si>
  <si>
    <t>Account Description</t>
  </si>
  <si>
    <t>FY17 Actual</t>
  </si>
  <si>
    <t>FY18 Actual</t>
  </si>
  <si>
    <t>FY19 Actual</t>
  </si>
  <si>
    <t>FY20 Actual</t>
  </si>
  <si>
    <t>FY 21 Appropriation</t>
  </si>
  <si>
    <t>FY22 Requests</t>
  </si>
  <si>
    <t>T.A. Corrections</t>
  </si>
  <si>
    <t>Updated Department Requests</t>
  </si>
  <si>
    <t>Fincom Proposals</t>
  </si>
  <si>
    <t>BOS Proposals</t>
  </si>
  <si>
    <t>FY22 Amended</t>
  </si>
  <si>
    <t>Flux from PY</t>
  </si>
  <si>
    <t>%</t>
  </si>
  <si>
    <t>Joint Water Indirect</t>
  </si>
  <si>
    <t>Water InDirect Budget</t>
  </si>
  <si>
    <t>Sewer InDirect Budget</t>
  </si>
  <si>
    <t>Solid Waste InDirect Budget</t>
  </si>
  <si>
    <t>01</t>
  </si>
  <si>
    <t>E</t>
  </si>
  <si>
    <t>01-122-5200-5400</t>
  </si>
  <si>
    <t>SELECTMEN GENERAL EXPENSE</t>
  </si>
  <si>
    <t>S</t>
  </si>
  <si>
    <t>01-123-5100-5112</t>
  </si>
  <si>
    <t>TOWN ADMINISTRATOR</t>
  </si>
  <si>
    <t>01-123-5100-5113</t>
  </si>
  <si>
    <t>ASST TOWN ADMINISTRATOR</t>
  </si>
  <si>
    <t>01-123-5100-5114</t>
  </si>
  <si>
    <t>TOWN ADMINISTRATOR SUPPORT SERVICES</t>
  </si>
  <si>
    <t>01-123-5100-5190</t>
  </si>
  <si>
    <t>TOWN ADMINISTRATOR SICK LEAVE BUYBACK</t>
  </si>
  <si>
    <t>01-123-5200-5400</t>
  </si>
  <si>
    <t>TOWN ADMIN GENERAL EXPENSE</t>
  </si>
  <si>
    <t>01-152-5100-5112</t>
  </si>
  <si>
    <t xml:space="preserve">HUMAN RESOURCES </t>
  </si>
  <si>
    <t>01-152-5200-5400</t>
  </si>
  <si>
    <t>HUMAN RESOURCES EXPENSE BUDGET</t>
  </si>
  <si>
    <t>01-131-5200-5400</t>
  </si>
  <si>
    <t>FIN COM GENERAL EXPENSE</t>
  </si>
  <si>
    <t>01-132-5200-5790</t>
  </si>
  <si>
    <t>RESERVE FUND</t>
  </si>
  <si>
    <t>01-135-5100-5112</t>
  </si>
  <si>
    <t>TOWN ACCOUNTANT SALARY</t>
  </si>
  <si>
    <t>01-135-5100-5114</t>
  </si>
  <si>
    <t>TOWN ACCT ADM/CLERICAL SALARIES</t>
  </si>
  <si>
    <t>01-135-5100-5190</t>
  </si>
  <si>
    <t>TOWN ACCT SICK LEAVE BUYBACK</t>
  </si>
  <si>
    <t>01-135-5200-5306</t>
  </si>
  <si>
    <t>ANNUAL AUDIT</t>
  </si>
  <si>
    <t>01-135-5200-5400</t>
  </si>
  <si>
    <t>TOWN ACCT GENERAL EXPENSE</t>
  </si>
  <si>
    <t>01-135-5200-5310</t>
  </si>
  <si>
    <t>SOFTRIGHT ANNUAL MAINTENANCE FEE</t>
  </si>
  <si>
    <t>01-141-5100-5112</t>
  </si>
  <si>
    <t>PRINCIPAL ASSESSOR SALARY</t>
  </si>
  <si>
    <t>01-141-5100-5114</t>
  </si>
  <si>
    <t>ASSESSORS ADM/CLERICAL SALARIES</t>
  </si>
  <si>
    <t>01-141-5100-5190</t>
  </si>
  <si>
    <t>01-141-5200-5400</t>
  </si>
  <si>
    <t>ASSESSORS GENERAL EXPENSE</t>
  </si>
  <si>
    <t>01-145-5100-5112</t>
  </si>
  <si>
    <t>TREASURER/COLLECTOR SALARY</t>
  </si>
  <si>
    <t>01-145-5100-5124</t>
  </si>
  <si>
    <t>TREASURER/COLLECTOR CERT. STIPEND</t>
  </si>
  <si>
    <t>01-145-5100-5114</t>
  </si>
  <si>
    <t>TREAS-COLL ADM/CLERICAL SALARIES</t>
  </si>
  <si>
    <t>01-145-5200-5301</t>
  </si>
  <si>
    <t>TAX TITLE</t>
  </si>
  <si>
    <t>01-145-5200-5302</t>
  </si>
  <si>
    <t>TAX FORECLOSURE</t>
  </si>
  <si>
    <t>01-145-5200-5400</t>
  </si>
  <si>
    <t>TREAS-COLL GENERAL EXPENSE</t>
  </si>
  <si>
    <t>01-151-5200-5301</t>
  </si>
  <si>
    <t>LEGAL PROF/TECH SERVICES</t>
  </si>
  <si>
    <t>01-161-5100-5112</t>
  </si>
  <si>
    <t>TOWN CLERK SALARY</t>
  </si>
  <si>
    <t>01-161-5100-5114</t>
  </si>
  <si>
    <t>TOWN CLERK ADM/CLERICAL SALARIES</t>
  </si>
  <si>
    <t>01-161-5100-5190</t>
  </si>
  <si>
    <t>TOWN CLERK SICK LEAVE BUYBACK</t>
  </si>
  <si>
    <t>01-161-5200-5400</t>
  </si>
  <si>
    <t>TOWN CLERK GENERAL EXPENSE</t>
  </si>
  <si>
    <t>01-162-5200-5380</t>
  </si>
  <si>
    <t>ELECTIONS</t>
  </si>
  <si>
    <t>01-162-5100-NEW</t>
  </si>
  <si>
    <t>ELECTIONS - PAYROLL</t>
  </si>
  <si>
    <t>01-163-5200-5780</t>
  </si>
  <si>
    <t>REGISTRARS</t>
  </si>
  <si>
    <t>01-163-5100-NEW</t>
  </si>
  <si>
    <t>REGISTRARS - PAYROLL</t>
  </si>
  <si>
    <t>01-195-5200-5380</t>
  </si>
  <si>
    <t>TOWN REPORTS</t>
  </si>
  <si>
    <t>01-200-5100-5114</t>
  </si>
  <si>
    <t>PSB SALARIES</t>
  </si>
  <si>
    <t>01-200-5200-5210</t>
  </si>
  <si>
    <t>PSB UTILITIES</t>
  </si>
  <si>
    <t>01-200-5200-5240</t>
  </si>
  <si>
    <t>PSB MAINTENANCE</t>
  </si>
  <si>
    <t>01-210-5100-5112</t>
  </si>
  <si>
    <t>POLICE CHIEF SALARY</t>
  </si>
  <si>
    <t>01-210-5100-5116</t>
  </si>
  <si>
    <t>DEPUTY CHIEF</t>
  </si>
  <si>
    <t>01-210-5100-5113</t>
  </si>
  <si>
    <t>01-210-5100-5115</t>
  </si>
  <si>
    <t>PATROLMEN SALARIES</t>
  </si>
  <si>
    <t>01-210-5100-5190</t>
  </si>
  <si>
    <t>POLICE SICK LEAVE BUYBACK</t>
  </si>
  <si>
    <t>01-210-5100-5114</t>
  </si>
  <si>
    <t>POLICE CHIEF SECRETARY SALARY</t>
  </si>
  <si>
    <t>01-210-5100-5130</t>
  </si>
  <si>
    <t>POLICE OVERTIME</t>
  </si>
  <si>
    <t>01-210-5200-5400</t>
  </si>
  <si>
    <t>POLICE GENERAL EXPENSE</t>
  </si>
  <si>
    <t>01-210-5200-5304</t>
  </si>
  <si>
    <t>POLICE MEDICAL PAYMENTS</t>
  </si>
  <si>
    <t>01-210-5200-5275</t>
  </si>
  <si>
    <t>L/P CHIEF VEHICLE/CRUISERS</t>
  </si>
  <si>
    <t>01-210-5200-5480</t>
  </si>
  <si>
    <t>POLICE - GASOLINE</t>
  </si>
  <si>
    <t>01-220-5100-5112</t>
  </si>
  <si>
    <t>FIRE CHIEF SALARY</t>
  </si>
  <si>
    <t>01-220-5100-5113</t>
  </si>
  <si>
    <t>FIRE LIEUTENANT SALARIES</t>
  </si>
  <si>
    <t>01-220-5100-5114</t>
  </si>
  <si>
    <t>FIRE CHIEF SECRETARY SALARY</t>
  </si>
  <si>
    <t>01-220-5100-5115</t>
  </si>
  <si>
    <t>FIRE PERMANENT MEN SALARIES</t>
  </si>
  <si>
    <t>01-220-5100-5116</t>
  </si>
  <si>
    <t>FIRE ALARM SALARIES &amp; OVERTIME</t>
  </si>
  <si>
    <t>01-220-5100-5117</t>
  </si>
  <si>
    <t>FIRE TRAINING</t>
  </si>
  <si>
    <t>01-220-5100-5130</t>
  </si>
  <si>
    <t>FIRE OVERTIME</t>
  </si>
  <si>
    <t>01-220-5100-5190</t>
  </si>
  <si>
    <t>FIRE - LONGEVITY</t>
  </si>
  <si>
    <t>FIRE UNUSED SICK-LEAVE BUYBACK</t>
  </si>
  <si>
    <t>01-220-5100-5192</t>
  </si>
  <si>
    <t>FIRE PERSONAL SERVICES</t>
  </si>
  <si>
    <t>01-220-5200-5304</t>
  </si>
  <si>
    <t>FIRE MEDICAL PAYMENTS/PHYSICALS</t>
  </si>
  <si>
    <t>01-220-5200-5400</t>
  </si>
  <si>
    <t>FIRE GENERAL EXPENSE</t>
  </si>
  <si>
    <t>01-220-5200-5580</t>
  </si>
  <si>
    <t>FIRE ALARM WORK</t>
  </si>
  <si>
    <t>01-220-5300-5850</t>
  </si>
  <si>
    <t>FIRE REPLACE EQUIPMENT</t>
  </si>
  <si>
    <t>01-220-5200-5480</t>
  </si>
  <si>
    <t>FIRE GASOLINE</t>
  </si>
  <si>
    <t>01-225-5100-5112</t>
  </si>
  <si>
    <t>COMM DIRECTOR SALARY</t>
  </si>
  <si>
    <t>01-225-5100-5116</t>
  </si>
  <si>
    <t>DEPUTY DIRECTOR</t>
  </si>
  <si>
    <t>01-225-5100-5115</t>
  </si>
  <si>
    <t>IT DIRECTOR</t>
  </si>
  <si>
    <t>01-225-5100-5113</t>
  </si>
  <si>
    <t>FIRE DISPATCHERS SALARIES</t>
  </si>
  <si>
    <t>01-225-5100-5130</t>
  </si>
  <si>
    <t>FIRE DISPATCHER OVERTIME</t>
  </si>
  <si>
    <t>01-225-5200-5400</t>
  </si>
  <si>
    <t>DISPATCH GENERAL EXPENSE</t>
  </si>
  <si>
    <t>01-225-5200-5480</t>
  </si>
  <si>
    <t>DISPATCH GASOLINE</t>
  </si>
  <si>
    <t>01-225-5200-NEW</t>
  </si>
  <si>
    <t>IT EXPENSE BUDGET</t>
  </si>
  <si>
    <t>01-230-5100-5113</t>
  </si>
  <si>
    <t>EMT SALARIES</t>
  </si>
  <si>
    <t>01-230-5100-5124</t>
  </si>
  <si>
    <t>EMT TRAINING</t>
  </si>
  <si>
    <t>01-230-5100-5130</t>
  </si>
  <si>
    <t>EMT OVERTIME</t>
  </si>
  <si>
    <t>01-230-5200-5400</t>
  </si>
  <si>
    <t>EMT EXPENSES</t>
  </si>
  <si>
    <t>01-230-5200-5310</t>
  </si>
  <si>
    <t>AMBULANCE MEDICAL BILLING</t>
  </si>
  <si>
    <t>01-230-5200-5480</t>
  </si>
  <si>
    <t>EMT GASOLINE</t>
  </si>
  <si>
    <t>01-240-5100-5112</t>
  </si>
  <si>
    <t>INSPECTIONAL SERVICES DIRECTOR</t>
  </si>
  <si>
    <t>BUILDING INSPECTOR</t>
  </si>
  <si>
    <t>01-240-5100-5113</t>
  </si>
  <si>
    <t>PLUMBING/GAS INSPECTOR</t>
  </si>
  <si>
    <t>01-240-5100-5116</t>
  </si>
  <si>
    <t>WIRING INSPECTOR</t>
  </si>
  <si>
    <t>01-240-5100-5120</t>
  </si>
  <si>
    <t>ASSISTANT INSPECTORS</t>
  </si>
  <si>
    <t>01-240-5100-5118</t>
  </si>
  <si>
    <t>PUBLIC HEALTH NURSE</t>
  </si>
  <si>
    <t>01-240-5100-5117</t>
  </si>
  <si>
    <t>HEALTH INSPECTOR</t>
  </si>
  <si>
    <t>01-240-5100-5130</t>
  </si>
  <si>
    <t>INSPECTIONAL CLERICAL OT</t>
  </si>
  <si>
    <t>01-240-5100-5114</t>
  </si>
  <si>
    <t>INSPECTIONAL CLERICAL</t>
  </si>
  <si>
    <t>01-240-5100-5140</t>
  </si>
  <si>
    <t>INSPECTION  - LONGEVITY</t>
  </si>
  <si>
    <t>01-240-5100-5</t>
  </si>
  <si>
    <t>INSPECTION - CONSERVATION AGENT</t>
  </si>
  <si>
    <t>01-240-5200-5400</t>
  </si>
  <si>
    <t>INSPECTIONAL SERVICES EXPENSES</t>
  </si>
  <si>
    <t>01-240-5200-5304</t>
  </si>
  <si>
    <t>HAZARDOUS WASTE DATE</t>
  </si>
  <si>
    <t>01-244-5100-5112</t>
  </si>
  <si>
    <t>SEALER WGTS &amp; MEASURES SALARY</t>
  </si>
  <si>
    <t>01-244-5200-5400</t>
  </si>
  <si>
    <t>SEALER GENERAL EXPENSE</t>
  </si>
  <si>
    <t>01-291-5200-5400</t>
  </si>
  <si>
    <t>EMERGENCY MGMT GENERAL EXPENSE</t>
  </si>
  <si>
    <t>01-292-5100-5112</t>
  </si>
  <si>
    <t>ANIMAL CONTROL OFFICER SALARY</t>
  </si>
  <si>
    <t>01-292-5100-5140</t>
  </si>
  <si>
    <t>ANIMAL CONTROL  - LONGEVITY</t>
  </si>
  <si>
    <t>01-292-5200-5400</t>
  </si>
  <si>
    <t>ANIMAL CONTROL GENERAL EXPENSE</t>
  </si>
  <si>
    <t>01-292-5200-5401</t>
  </si>
  <si>
    <t>ANIMAL CONTROL ADOPTION</t>
  </si>
  <si>
    <t>01-292-5200-5480</t>
  </si>
  <si>
    <t>ANIMAL CONTROL GASOLINE</t>
  </si>
  <si>
    <t>01-294-5200-5400</t>
  </si>
  <si>
    <t>FOREST COMM GENL EXPENSE</t>
  </si>
  <si>
    <t>01-350-5600-5320</t>
  </si>
  <si>
    <t>BLUE HILLS REGIONAL SCHOOL</t>
  </si>
  <si>
    <t>01-360-5600-5320</t>
  </si>
  <si>
    <t>NORFOLK COUNTY AGRICULTURAL SCHOOL</t>
  </si>
  <si>
    <t>S/E</t>
  </si>
  <si>
    <t>Various</t>
  </si>
  <si>
    <t>HOLBROOK PUBLIC SCHOOLS</t>
  </si>
  <si>
    <t>SCHOOL TRANSPORTATION</t>
  </si>
  <si>
    <t>01-400-5100-5130</t>
  </si>
  <si>
    <t>PWD OVERTIME</t>
  </si>
  <si>
    <t>01-400-5100-5112</t>
  </si>
  <si>
    <t>PWD SUPERINTENDENT SALARY</t>
  </si>
  <si>
    <t>01-400-5100-5113</t>
  </si>
  <si>
    <t>PWD SUPERVISOR SALARIES</t>
  </si>
  <si>
    <t>01-400-5100-5114</t>
  </si>
  <si>
    <t>PWD ADM/CLERICAL SALARIES</t>
  </si>
  <si>
    <t>01-400-5100-5115</t>
  </si>
  <si>
    <t>PWD PERMANENT MEN SALARIES</t>
  </si>
  <si>
    <t>flat</t>
  </si>
  <si>
    <t>01-400-5100-5121</t>
  </si>
  <si>
    <t>PWD SEASONAL LABOR</t>
  </si>
  <si>
    <t>01-400-5100-5190</t>
  </si>
  <si>
    <t>PWD SICK LEAVE BUYBACK</t>
  </si>
  <si>
    <t>01-400-5100-5192</t>
  </si>
  <si>
    <t>PWD PERSONAL SERVICE EXPENSE</t>
  </si>
  <si>
    <t>01-400-5200-5341</t>
  </si>
  <si>
    <t>TOWN HALL TELEPHONES</t>
  </si>
  <si>
    <t>01-400-5200-5240-50</t>
  </si>
  <si>
    <t>TOWN HALL EXPENSE</t>
  </si>
  <si>
    <t>01-400-5200-5240-65</t>
  </si>
  <si>
    <t>ANIMAL SHELTER</t>
  </si>
  <si>
    <t>01-400-5200-5240-80</t>
  </si>
  <si>
    <t>JEWEL RD BLDG EXPENSE (COA)</t>
  </si>
  <si>
    <t>01-400-5200-5480</t>
  </si>
  <si>
    <t>GASOLINE/TOWN VEHICLES</t>
  </si>
  <si>
    <t>01-400-5200-5</t>
  </si>
  <si>
    <t>LANDFILL</t>
  </si>
  <si>
    <t>01-400-5200-5240-70</t>
  </si>
  <si>
    <t>JFK/SOUTH UTILITIES &amp; MAINT</t>
  </si>
  <si>
    <t>01-400-5200-5530</t>
  </si>
  <si>
    <t>PWD GENERAL EXPENSE</t>
  </si>
  <si>
    <t>01-400-5200-5310</t>
  </si>
  <si>
    <t>EWASTE DAY</t>
  </si>
  <si>
    <t>01-400-5200-5465</t>
  </si>
  <si>
    <t>TREE REMOVAL</t>
  </si>
  <si>
    <t>01-400-5200-5380</t>
  </si>
  <si>
    <t>STORM WATER MANAGEMENT</t>
  </si>
  <si>
    <t>TOWN OWNED PROPERTY UTILITIES</t>
  </si>
  <si>
    <t>01-422-5200-5530</t>
  </si>
  <si>
    <t>ROADS &amp; SIDEWALK CONSTRUCTION</t>
  </si>
  <si>
    <t>01-423-5200-5530</t>
  </si>
  <si>
    <t>SNOW &amp; ICE EXPENSE</t>
  </si>
  <si>
    <t>01-424-5200-5210</t>
  </si>
  <si>
    <t>STREET LIGHTING</t>
  </si>
  <si>
    <t>01-541-5100-5112</t>
  </si>
  <si>
    <t>COUNCIL ON AGING COORDINATOR SALARY</t>
  </si>
  <si>
    <t>01-541-5100-5113</t>
  </si>
  <si>
    <t>COA ASST DIRECTOR</t>
  </si>
  <si>
    <t>01-541-5100-5114</t>
  </si>
  <si>
    <t>COA PRINCIPAL CLERK</t>
  </si>
  <si>
    <t>01-541-5100-5116</t>
  </si>
  <si>
    <t>COA VAN DRIVER SALARIES</t>
  </si>
  <si>
    <t>01-541-5100-5190</t>
  </si>
  <si>
    <t>COA SICK LEAVE BUYBACK</t>
  </si>
  <si>
    <t>01-541-5200-5400</t>
  </si>
  <si>
    <t>COA GENERAL EXPENSE</t>
  </si>
  <si>
    <t>01-541-5200-5480</t>
  </si>
  <si>
    <t>COA GASOLINE</t>
  </si>
  <si>
    <t>01-543-5100-5112</t>
  </si>
  <si>
    <t>VETERANS AGENT SALARY</t>
  </si>
  <si>
    <t>01-543-5200-5400</t>
  </si>
  <si>
    <t>VETERANS GENERAL EXPENSE</t>
  </si>
  <si>
    <t>01-543-5200-5770</t>
  </si>
  <si>
    <t>VETERANS BENEFITS</t>
  </si>
  <si>
    <t>01-610-5100-5112</t>
  </si>
  <si>
    <t>LIBRARY DIRECTOR SALARY</t>
  </si>
  <si>
    <t>01-610-5100-5113</t>
  </si>
  <si>
    <t>ASSISTANT DIRECTORS SALARY</t>
  </si>
  <si>
    <t>01-610-5100-5114</t>
  </si>
  <si>
    <t>LIBRARY ADM/CLERICAL SALARIES</t>
  </si>
  <si>
    <t>01-610-5100-5190</t>
  </si>
  <si>
    <t>LIBRARY SICKLEAVE BUYBACK</t>
  </si>
  <si>
    <t>01-610-5200-5400</t>
  </si>
  <si>
    <t>LIBRARY GENERAL EXPENSE</t>
  </si>
  <si>
    <t>01-610-5200-5510</t>
  </si>
  <si>
    <t>LIB BOOKS,PERIODICALS &amp; MATERIALS</t>
  </si>
  <si>
    <t>01-610-5200-5850</t>
  </si>
  <si>
    <t>LIB AUTOMATED CIRCULATION SYSTEM</t>
  </si>
  <si>
    <t>01-691-5200-5400</t>
  </si>
  <si>
    <t>HISTORICAL COMM EXPENSE</t>
  </si>
  <si>
    <t>01-710-5900-5910</t>
  </si>
  <si>
    <t>PRINCIPAL - GENERAL L-T DEBT</t>
  </si>
  <si>
    <t>01-710-5900-5911</t>
  </si>
  <si>
    <t>PRINCIPAL - SEWER L-T DEBT</t>
  </si>
  <si>
    <t>01-710-5900-5912</t>
  </si>
  <si>
    <t>PRINCIPAL - WATER L-T DEBT</t>
  </si>
  <si>
    <t>01-751-5900-5915</t>
  </si>
  <si>
    <t>INTEREST - GENERAL L-T DEBT</t>
  </si>
  <si>
    <t>01-751-5900-5916</t>
  </si>
  <si>
    <t>INTEREST - SEWER L-T DEBT</t>
  </si>
  <si>
    <t>01-751-5900-5917</t>
  </si>
  <si>
    <t>INTEREST - WATER L-T DEBT</t>
  </si>
  <si>
    <t>01-751-5900-5930</t>
  </si>
  <si>
    <t>DEBT ADMIN CHRGS - GENERAL</t>
  </si>
  <si>
    <t>01-751-5900-5932</t>
  </si>
  <si>
    <t>DEBT ADMIN CHRGS - WATER</t>
  </si>
  <si>
    <t>01-752-5900-5920</t>
  </si>
  <si>
    <t>PAYDOWNS - TEMPORARY LOANS</t>
  </si>
  <si>
    <t>01-752-5900-5925</t>
  </si>
  <si>
    <t>INTEREST- TEMPORARY LOANS</t>
  </si>
  <si>
    <t>01-911-5200-5170</t>
  </si>
  <si>
    <t>NORFOLK COUNTY PENSION</t>
  </si>
  <si>
    <t>Flat</t>
  </si>
  <si>
    <t>01-911-5200-5171</t>
  </si>
  <si>
    <t>MEDICARE</t>
  </si>
  <si>
    <t>01-913-5200-5172</t>
  </si>
  <si>
    <t>UNEMPLOYMENT INSURANCE</t>
  </si>
  <si>
    <t>01-914-5200-5175</t>
  </si>
  <si>
    <t>EMPLOYEE HEALTH INSURANCE</t>
  </si>
  <si>
    <t>01-914-5200-5176</t>
  </si>
  <si>
    <t>MEDICARE PART B</t>
  </si>
  <si>
    <t>01-915-5200-5177</t>
  </si>
  <si>
    <t>EMPLOYEE LIFE INSURANCE</t>
  </si>
  <si>
    <t>01-916-5200-5178</t>
  </si>
  <si>
    <t>EMPLOYEE DENTAL INSURANCE</t>
  </si>
  <si>
    <t>01-945-5200-5743</t>
  </si>
  <si>
    <t>PUBLIC SAFETY INSURANCE DEDUCTIBLE</t>
  </si>
  <si>
    <t>01-945-5200-5740</t>
  </si>
  <si>
    <t>GENERAL INSURANCE</t>
  </si>
  <si>
    <t>01-912-5200-5173</t>
  </si>
  <si>
    <t>WORKERS COMPENSATION</t>
  </si>
  <si>
    <t>T</t>
  </si>
  <si>
    <t>01-990-5960-5963</t>
  </si>
  <si>
    <t>TRANSFER TO CAPITAL</t>
  </si>
  <si>
    <t>01-990-5960-5968</t>
  </si>
  <si>
    <t>TRANSFER TO TRUST &amp; AGENCY</t>
  </si>
  <si>
    <t>01-990-5960-5967</t>
  </si>
  <si>
    <t>TRANSFER TO STABILIZATION FUND</t>
  </si>
  <si>
    <t>GRAND TOTAL GENERAL FUND</t>
  </si>
  <si>
    <t>Grand Total General Fund</t>
  </si>
  <si>
    <t>HCAM Enterprise - PEG</t>
  </si>
  <si>
    <t>62</t>
  </si>
  <si>
    <t>62-125-5200-5310</t>
  </si>
  <si>
    <t>EXPENDITURES - TO HCAM</t>
  </si>
  <si>
    <t>Total w/out school</t>
  </si>
  <si>
    <t>PEG Access Total</t>
  </si>
  <si>
    <t>Water Enterprise</t>
  </si>
  <si>
    <t>Direct Function Salaries</t>
  </si>
  <si>
    <t>068</t>
  </si>
  <si>
    <t>68-451-5600-5100</t>
  </si>
  <si>
    <t>JOINT WATER - SALARIES</t>
  </si>
  <si>
    <t>68-451-5600-5130</t>
  </si>
  <si>
    <t>Joint Water-Overtime</t>
  </si>
  <si>
    <t>68-451-5600-5530</t>
  </si>
  <si>
    <t>Joint Water- Expenses</t>
  </si>
  <si>
    <t>PY Indirects</t>
  </si>
  <si>
    <t>68-451-5600-5790</t>
  </si>
  <si>
    <t>Joint Water - Reserve Fund</t>
  </si>
  <si>
    <t>68-451-5600-5116/5800</t>
  </si>
  <si>
    <t>Joint Water - Emergency Spending</t>
  </si>
  <si>
    <t>Joint Water Subtotal</t>
  </si>
  <si>
    <t>Flux</t>
  </si>
  <si>
    <t>68-450-5200-5200</t>
  </si>
  <si>
    <t>EXPENDITURES - WATER</t>
  </si>
  <si>
    <t>68-452-5600-5530</t>
  </si>
  <si>
    <t>TriTown Water</t>
  </si>
  <si>
    <t>68-710-5900-5912</t>
  </si>
  <si>
    <t>Long Term Debt Princ</t>
  </si>
  <si>
    <t>68-751-5900-5917</t>
  </si>
  <si>
    <t>Long Term Debt Int</t>
  </si>
  <si>
    <t>68-751-5900-5932</t>
  </si>
  <si>
    <t xml:space="preserve">Admin Costs </t>
  </si>
  <si>
    <t>68-752-5900-5925</t>
  </si>
  <si>
    <t>Short Term Debt Interest</t>
  </si>
  <si>
    <t>68-752-5900-5920</t>
  </si>
  <si>
    <t>SHORT TERM PAY DOWNS</t>
  </si>
  <si>
    <t>68-450-5400-5790</t>
  </si>
  <si>
    <t>EXTRAORDINARY/UNFORESEEN</t>
  </si>
  <si>
    <t>68-450-5960-5961</t>
  </si>
  <si>
    <t>TRANSFER TO GENERAL FUND</t>
  </si>
  <si>
    <t>68-450-5960-5963</t>
  </si>
  <si>
    <t>TRANSFER TO CAPITAL IMPROVEMENT FUD</t>
  </si>
  <si>
    <t>Water Enterprise Subtotal</t>
  </si>
  <si>
    <t>WATER/JW GRAND TOTAL</t>
  </si>
  <si>
    <t>Solid Waste enterprise</t>
  </si>
  <si>
    <t>060</t>
  </si>
  <si>
    <t>60-430-5200-5200</t>
  </si>
  <si>
    <t>EXPENDITURES - SOLID WASTE</t>
  </si>
  <si>
    <t>60-430-5400-5790</t>
  </si>
  <si>
    <t>60-430-5960-5961</t>
  </si>
  <si>
    <t>60-430-5960-5963</t>
  </si>
  <si>
    <t>Solid Waste Total</t>
  </si>
  <si>
    <t>Sewer Enterprise</t>
  </si>
  <si>
    <t>065</t>
  </si>
  <si>
    <t>65-440-5200-5200</t>
  </si>
  <si>
    <t>EXPENDITURES - SEWER</t>
  </si>
  <si>
    <t>65-440-5600-5695</t>
  </si>
  <si>
    <t>MWRA ASSESSMENT</t>
  </si>
  <si>
    <t>65-440-5400-5790</t>
  </si>
  <si>
    <t>65-440-5960-5961</t>
  </si>
  <si>
    <t>65-440-5960-5963</t>
  </si>
  <si>
    <t>Sewer Total</t>
  </si>
  <si>
    <t>ROUNDING</t>
  </si>
  <si>
    <t>Control GF</t>
  </si>
  <si>
    <t>Less:Encumbrance Spending/State &amp; County/Free Cash Votes Out/RFT's</t>
  </si>
  <si>
    <t>Control Ent (Less ENC&amp; JW to WTR Trxs)</t>
  </si>
  <si>
    <t>Total Above</t>
  </si>
  <si>
    <t>Variance</t>
  </si>
  <si>
    <t>Total Salaries Budgeted</t>
  </si>
  <si>
    <t>Less: Overtime</t>
  </si>
  <si>
    <t>FY21 Approp</t>
  </si>
  <si>
    <t>FY22 Final</t>
  </si>
  <si>
    <t>Total Town Salaries</t>
  </si>
  <si>
    <t>Control Ent</t>
  </si>
  <si>
    <t>Plus: School County Wages FY20 + 4%</t>
  </si>
  <si>
    <t>Change</t>
  </si>
  <si>
    <t>Total Salaries - GF - To Indirect Page</t>
  </si>
  <si>
    <t xml:space="preserve"> </t>
  </si>
  <si>
    <t>Total Expenses Less Indirects</t>
  </si>
  <si>
    <t>Control for FY22 Requests:</t>
  </si>
  <si>
    <t>To Indirect Tab - Does not include PEG</t>
  </si>
  <si>
    <t>Selectmen</t>
  </si>
  <si>
    <t>Town Admin</t>
  </si>
  <si>
    <t>Accounting</t>
  </si>
  <si>
    <t>Assessors</t>
  </si>
  <si>
    <t>TC</t>
  </si>
  <si>
    <t>Town Clerk</t>
  </si>
  <si>
    <t>Public Safety Building</t>
  </si>
  <si>
    <t>Police/Animal Control</t>
  </si>
  <si>
    <t>Fire</t>
  </si>
  <si>
    <t>Dispatch</t>
  </si>
  <si>
    <t>EMT</t>
  </si>
  <si>
    <t>Emergency Mgmt</t>
  </si>
  <si>
    <t>Inspectional Serv.</t>
  </si>
  <si>
    <t>Sealer</t>
  </si>
  <si>
    <t>Forest</t>
  </si>
  <si>
    <t>Norfolk County</t>
  </si>
  <si>
    <t>Blue Hills / Norfolk Aggie</t>
  </si>
  <si>
    <t>School</t>
  </si>
  <si>
    <t>COA</t>
  </si>
  <si>
    <t>Veterans - Didn't receive</t>
  </si>
  <si>
    <t>Library</t>
  </si>
  <si>
    <t>Debt</t>
  </si>
  <si>
    <t>Benefits</t>
  </si>
  <si>
    <t>DPW</t>
  </si>
  <si>
    <t>Historical - Didn't receive</t>
  </si>
  <si>
    <t>Capital</t>
  </si>
  <si>
    <t>HR</t>
  </si>
  <si>
    <t>Fincom</t>
  </si>
  <si>
    <t>Control Variance</t>
  </si>
  <si>
    <t>ASSESSORS SICK LEAVE BUYBACK</t>
  </si>
  <si>
    <t>SERGEANT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</si>
</sst>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_(* #,##0.0_);_(* \(#,##0.0\);_(* &quot;-&quot;??_);_(@_)"/>
  </numFmts>
  <fonts count="11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omic Sans MS"/>
      <family val="4"/>
    </font>
    <font>
      <i/>
      <sz val="12"/>
      <color theme="1"/>
      <name val="Arial"/>
      <family val="2"/>
    </font>
    <font>
      <sz val="10"/>
      <color theme="1"/>
      <name val="Comic Sans MS"/>
      <family val="4"/>
    </font>
    <font>
      <i/>
      <sz val="10"/>
      <color theme="1"/>
      <name val="Comic Sans MS"/>
      <family val="4"/>
    </font>
    <font>
      <sz val="1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43" fontId="1" fillId="0" borderId="1" xfId="0" applyNumberFormat="1" applyFont="1" applyBorder="1" applyAlignment="1">
      <alignment horizontal="center" textRotation="90" wrapText="1"/>
    </xf>
    <xf numFmtId="43" fontId="1" fillId="0" borderId="2" xfId="0" applyNumberFormat="1" applyFont="1" applyBorder="1" applyAlignment="1">
      <alignment horizontal="center" textRotation="90" wrapText="1"/>
    </xf>
    <xf numFmtId="164" fontId="1" fillId="0" borderId="2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43" fontId="1" fillId="2" borderId="2" xfId="0" applyNumberFormat="1" applyFont="1" applyFill="1" applyBorder="1" applyAlignment="1">
      <alignment horizontal="center" wrapText="1"/>
    </xf>
    <xf numFmtId="43" fontId="1" fillId="3" borderId="2" xfId="0" applyNumberFormat="1" applyFont="1" applyFill="1" applyBorder="1" applyAlignment="1">
      <alignment horizontal="center" wrapText="1"/>
    </xf>
    <xf numFmtId="43" fontId="1" fillId="4" borderId="2" xfId="0" applyNumberFormat="1" applyFont="1" applyFill="1" applyBorder="1" applyAlignment="1">
      <alignment horizontal="center" wrapText="1"/>
    </xf>
    <xf numFmtId="4" fontId="1" fillId="4" borderId="3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0" fontId="0" fillId="0" borderId="0" xfId="0" applyFont="1" applyAlignment="1"/>
    <xf numFmtId="43" fontId="2" fillId="0" borderId="5" xfId="0" quotePrefix="1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43" fontId="2" fillId="0" borderId="6" xfId="0" applyNumberFormat="1" applyFont="1" applyBorder="1" applyAlignment="1">
      <alignment horizontal="left" wrapText="1"/>
    </xf>
    <xf numFmtId="43" fontId="2" fillId="0" borderId="6" xfId="0" applyNumberFormat="1" applyFont="1" applyBorder="1" applyAlignment="1">
      <alignment wrapText="1"/>
    </xf>
    <xf numFmtId="43" fontId="2" fillId="2" borderId="6" xfId="0" applyNumberFormat="1" applyFont="1" applyFill="1" applyBorder="1" applyAlignment="1">
      <alignment wrapText="1"/>
    </xf>
    <xf numFmtId="43" fontId="2" fillId="2" borderId="4" xfId="0" applyNumberFormat="1" applyFont="1" applyFill="1" applyBorder="1" applyAlignment="1">
      <alignment wrapText="1"/>
    </xf>
    <xf numFmtId="43" fontId="2" fillId="2" borderId="6" xfId="0" applyNumberFormat="1" applyFont="1" applyFill="1" applyBorder="1"/>
    <xf numFmtId="43" fontId="2" fillId="3" borderId="6" xfId="0" applyNumberFormat="1" applyFont="1" applyFill="1" applyBorder="1"/>
    <xf numFmtId="43" fontId="2" fillId="4" borderId="6" xfId="0" applyNumberFormat="1" applyFont="1" applyFill="1" applyBorder="1"/>
    <xf numFmtId="4" fontId="4" fillId="4" borderId="4" xfId="0" applyNumberFormat="1" applyFont="1" applyFill="1" applyBorder="1" applyAlignment="1">
      <alignment horizontal="center" wrapText="1"/>
    </xf>
    <xf numFmtId="43" fontId="2" fillId="0" borderId="0" xfId="0" applyNumberFormat="1" applyFont="1"/>
    <xf numFmtId="166" fontId="5" fillId="0" borderId="4" xfId="0" applyNumberFormat="1" applyFont="1" applyBorder="1" applyAlignment="1">
      <alignment horizontal="left" wrapText="1"/>
    </xf>
    <xf numFmtId="165" fontId="6" fillId="3" borderId="4" xfId="0" applyNumberFormat="1" applyFont="1" applyFill="1" applyBorder="1" applyAlignment="1">
      <alignment horizontal="center" wrapText="1"/>
    </xf>
    <xf numFmtId="43" fontId="2" fillId="0" borderId="7" xfId="0" quotePrefix="1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43" fontId="2" fillId="0" borderId="4" xfId="0" applyNumberFormat="1" applyFont="1" applyBorder="1" applyAlignment="1">
      <alignment wrapText="1"/>
    </xf>
    <xf numFmtId="43" fontId="2" fillId="0" borderId="7" xfId="0" applyNumberFormat="1" applyFont="1" applyBorder="1" applyAlignment="1">
      <alignment horizontal="center" wrapText="1"/>
    </xf>
    <xf numFmtId="43" fontId="8" fillId="3" borderId="6" xfId="0" applyNumberFormat="1" applyFont="1" applyFill="1" applyBorder="1" applyAlignment="1"/>
    <xf numFmtId="10" fontId="2" fillId="0" borderId="0" xfId="0" applyNumberFormat="1" applyFont="1"/>
    <xf numFmtId="43" fontId="2" fillId="0" borderId="4" xfId="0" applyNumberFormat="1" applyFont="1" applyBorder="1" applyAlignment="1">
      <alignment horizontal="left" wrapText="1"/>
    </xf>
    <xf numFmtId="165" fontId="6" fillId="0" borderId="4" xfId="0" applyNumberFormat="1" applyFont="1" applyBorder="1" applyAlignment="1">
      <alignment horizontal="center"/>
    </xf>
    <xf numFmtId="43" fontId="1" fillId="0" borderId="0" xfId="0" applyNumberFormat="1" applyFont="1"/>
    <xf numFmtId="165" fontId="6" fillId="0" borderId="4" xfId="0" applyNumberFormat="1" applyFont="1" applyBorder="1" applyAlignment="1">
      <alignment horizontal="center" wrapText="1"/>
    </xf>
    <xf numFmtId="43" fontId="2" fillId="3" borderId="4" xfId="0" applyNumberFormat="1" applyFont="1" applyFill="1" applyBorder="1"/>
    <xf numFmtId="43" fontId="2" fillId="2" borderId="4" xfId="0" applyNumberFormat="1" applyFont="1" applyFill="1" applyBorder="1" applyAlignment="1"/>
    <xf numFmtId="43" fontId="2" fillId="3" borderId="6" xfId="0" applyNumberFormat="1" applyFont="1" applyFill="1" applyBorder="1" applyAlignment="1"/>
    <xf numFmtId="43" fontId="2" fillId="2" borderId="4" xfId="0" applyNumberFormat="1" applyFont="1" applyFill="1" applyBorder="1"/>
    <xf numFmtId="10" fontId="6" fillId="0" borderId="4" xfId="0" applyNumberFormat="1" applyFont="1" applyBorder="1" applyAlignment="1">
      <alignment horizontal="center"/>
    </xf>
    <xf numFmtId="166" fontId="5" fillId="5" borderId="8" xfId="0" applyNumberFormat="1" applyFont="1" applyFill="1" applyBorder="1" applyAlignment="1">
      <alignment horizontal="center" wrapText="1"/>
    </xf>
    <xf numFmtId="166" fontId="5" fillId="5" borderId="9" xfId="0" applyNumberFormat="1" applyFont="1" applyFill="1" applyBorder="1" applyAlignment="1">
      <alignment horizontal="center" wrapText="1"/>
    </xf>
    <xf numFmtId="166" fontId="5" fillId="5" borderId="10" xfId="0" applyNumberFormat="1" applyFont="1" applyFill="1" applyBorder="1" applyAlignment="1">
      <alignment horizontal="center" wrapText="1"/>
    </xf>
    <xf numFmtId="43" fontId="2" fillId="3" borderId="4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horizontal="center" wrapText="1"/>
    </xf>
    <xf numFmtId="43" fontId="2" fillId="0" borderId="4" xfId="0" applyNumberFormat="1" applyFont="1" applyBorder="1" applyAlignment="1">
      <alignment horizontal="center" wrapText="1"/>
    </xf>
    <xf numFmtId="165" fontId="2" fillId="0" borderId="0" xfId="0" applyNumberFormat="1" applyFont="1"/>
    <xf numFmtId="167" fontId="2" fillId="0" borderId="0" xfId="0" applyNumberFormat="1" applyFont="1"/>
    <xf numFmtId="9" fontId="2" fillId="0" borderId="0" xfId="0" applyNumberFormat="1" applyFont="1"/>
    <xf numFmtId="43" fontId="2" fillId="6" borderId="4" xfId="0" applyNumberFormat="1" applyFont="1" applyFill="1" applyBorder="1" applyAlignment="1">
      <alignment wrapText="1"/>
    </xf>
    <xf numFmtId="43" fontId="2" fillId="6" borderId="4" xfId="0" applyNumberFormat="1" applyFont="1" applyFill="1" applyBorder="1"/>
    <xf numFmtId="44" fontId="5" fillId="0" borderId="4" xfId="0" applyNumberFormat="1" applyFont="1" applyBorder="1" applyAlignment="1">
      <alignment horizontal="left" wrapText="1"/>
    </xf>
    <xf numFmtId="165" fontId="6" fillId="0" borderId="4" xfId="0" applyNumberFormat="1" applyFont="1" applyBorder="1"/>
    <xf numFmtId="165" fontId="6" fillId="5" borderId="4" xfId="0" applyNumberFormat="1" applyFont="1" applyFill="1" applyBorder="1" applyAlignment="1">
      <alignment horizontal="center"/>
    </xf>
    <xf numFmtId="166" fontId="5" fillId="0" borderId="9" xfId="0" applyNumberFormat="1" applyFont="1" applyBorder="1" applyAlignment="1">
      <alignment wrapText="1"/>
    </xf>
    <xf numFmtId="166" fontId="5" fillId="0" borderId="8" xfId="0" applyNumberFormat="1" applyFont="1" applyBorder="1" applyAlignment="1">
      <alignment wrapText="1"/>
    </xf>
    <xf numFmtId="166" fontId="5" fillId="0" borderId="4" xfId="0" applyNumberFormat="1" applyFont="1" applyBorder="1" applyAlignment="1">
      <alignment horizontal="center" wrapText="1"/>
    </xf>
    <xf numFmtId="43" fontId="2" fillId="0" borderId="6" xfId="0" applyNumberFormat="1" applyFont="1" applyBorder="1" applyAlignment="1">
      <alignment horizontal="center" wrapText="1"/>
    </xf>
    <xf numFmtId="43" fontId="1" fillId="0" borderId="11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3" fontId="1" fillId="0" borderId="0" xfId="0" applyNumberFormat="1" applyFont="1" applyAlignment="1">
      <alignment horizontal="center" wrapText="1"/>
    </xf>
    <xf numFmtId="43" fontId="1" fillId="0" borderId="0" xfId="0" applyNumberFormat="1" applyFont="1" applyAlignment="1">
      <alignment horizontal="right" wrapText="1"/>
    </xf>
    <xf numFmtId="43" fontId="1" fillId="0" borderId="12" xfId="0" applyNumberFormat="1" applyFont="1" applyBorder="1" applyAlignment="1">
      <alignment wrapText="1"/>
    </xf>
    <xf numFmtId="43" fontId="1" fillId="2" borderId="12" xfId="0" applyNumberFormat="1" applyFont="1" applyFill="1" applyBorder="1" applyAlignment="1">
      <alignment wrapText="1"/>
    </xf>
    <xf numFmtId="43" fontId="1" fillId="3" borderId="12" xfId="0" applyNumberFormat="1" applyFont="1" applyFill="1" applyBorder="1"/>
    <xf numFmtId="43" fontId="1" fillId="4" borderId="6" xfId="0" applyNumberFormat="1" applyFont="1" applyFill="1" applyBorder="1"/>
    <xf numFmtId="43" fontId="1" fillId="4" borderId="12" xfId="0" applyNumberFormat="1" applyFont="1" applyFill="1" applyBorder="1"/>
    <xf numFmtId="4" fontId="9" fillId="4" borderId="13" xfId="0" applyNumberFormat="1" applyFont="1" applyFill="1" applyBorder="1" applyAlignment="1">
      <alignment horizontal="center" wrapText="1"/>
    </xf>
    <xf numFmtId="168" fontId="1" fillId="0" borderId="0" xfId="0" applyNumberFormat="1" applyFont="1"/>
    <xf numFmtId="168" fontId="2" fillId="0" borderId="0" xfId="0" applyNumberFormat="1" applyFont="1"/>
    <xf numFmtId="43" fontId="2" fillId="2" borderId="0" xfId="0" applyNumberFormat="1" applyFont="1" applyFill="1" applyBorder="1" applyAlignment="1">
      <alignment wrapText="1"/>
    </xf>
    <xf numFmtId="10" fontId="2" fillId="2" borderId="0" xfId="0" applyNumberFormat="1" applyFont="1" applyFill="1" applyBorder="1"/>
    <xf numFmtId="43" fontId="2" fillId="2" borderId="0" xfId="0" applyNumberFormat="1" applyFont="1" applyFill="1" applyBorder="1"/>
    <xf numFmtId="43" fontId="2" fillId="3" borderId="0" xfId="0" applyNumberFormat="1" applyFont="1" applyFill="1" applyBorder="1"/>
    <xf numFmtId="43" fontId="2" fillId="4" borderId="0" xfId="0" applyNumberFormat="1" applyFont="1" applyFill="1" applyBorder="1"/>
    <xf numFmtId="4" fontId="2" fillId="4" borderId="0" xfId="0" applyNumberFormat="1" applyFont="1" applyFill="1" applyBorder="1"/>
    <xf numFmtId="43" fontId="2" fillId="0" borderId="1" xfId="0" quotePrefix="1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3" fontId="2" fillId="0" borderId="2" xfId="0" applyNumberFormat="1" applyFont="1" applyBorder="1" applyAlignment="1">
      <alignment horizontal="center" wrapText="1"/>
    </xf>
    <xf numFmtId="43" fontId="2" fillId="0" borderId="2" xfId="0" applyNumberFormat="1" applyFont="1" applyBorder="1" applyAlignment="1">
      <alignment wrapText="1"/>
    </xf>
    <xf numFmtId="43" fontId="2" fillId="2" borderId="15" xfId="0" applyNumberFormat="1" applyFont="1" applyFill="1" applyBorder="1" applyAlignment="1">
      <alignment wrapText="1"/>
    </xf>
    <xf numFmtId="43" fontId="2" fillId="2" borderId="15" xfId="0" applyNumberFormat="1" applyFont="1" applyFill="1" applyBorder="1"/>
    <xf numFmtId="43" fontId="2" fillId="2" borderId="3" xfId="0" applyNumberFormat="1" applyFont="1" applyFill="1" applyBorder="1"/>
    <xf numFmtId="43" fontId="2" fillId="3" borderId="16" xfId="0" applyNumberFormat="1" applyFont="1" applyFill="1" applyBorder="1"/>
    <xf numFmtId="43" fontId="2" fillId="3" borderId="17" xfId="0" applyNumberFormat="1" applyFont="1" applyFill="1" applyBorder="1"/>
    <xf numFmtId="43" fontId="2" fillId="4" borderId="4" xfId="0" applyNumberFormat="1" applyFont="1" applyFill="1" applyBorder="1"/>
    <xf numFmtId="43" fontId="1" fillId="0" borderId="18" xfId="0" applyNumberFormat="1" applyFont="1" applyBorder="1"/>
    <xf numFmtId="164" fontId="2" fillId="0" borderId="0" xfId="0" applyNumberFormat="1" applyFont="1" applyAlignment="1">
      <alignment horizontal="center" wrapText="1"/>
    </xf>
    <xf numFmtId="43" fontId="1" fillId="2" borderId="12" xfId="0" applyNumberFormat="1" applyFont="1" applyFill="1" applyBorder="1"/>
    <xf numFmtId="4" fontId="1" fillId="4" borderId="12" xfId="0" applyNumberFormat="1" applyFont="1" applyFill="1" applyBorder="1"/>
    <xf numFmtId="43" fontId="2" fillId="0" borderId="0" xfId="0" applyNumberFormat="1" applyFont="1" applyAlignment="1">
      <alignment horizontal="right"/>
    </xf>
    <xf numFmtId="43" fontId="1" fillId="0" borderId="19" xfId="0" applyNumberFormat="1" applyFont="1" applyBorder="1"/>
    <xf numFmtId="43" fontId="2" fillId="0" borderId="20" xfId="0" applyNumberFormat="1" applyFont="1" applyBorder="1"/>
    <xf numFmtId="43" fontId="2" fillId="0" borderId="21" xfId="0" applyNumberFormat="1" applyFont="1" applyBorder="1"/>
    <xf numFmtId="43" fontId="2" fillId="0" borderId="4" xfId="0" quotePrefix="1" applyNumberFormat="1" applyFont="1" applyBorder="1" applyAlignment="1">
      <alignment horizontal="center" wrapText="1"/>
    </xf>
    <xf numFmtId="166" fontId="5" fillId="0" borderId="22" xfId="0" applyNumberFormat="1" applyFont="1" applyBorder="1"/>
    <xf numFmtId="10" fontId="2" fillId="0" borderId="14" xfId="0" applyNumberFormat="1" applyFont="1" applyBorder="1"/>
    <xf numFmtId="166" fontId="5" fillId="0" borderId="14" xfId="0" applyNumberFormat="1" applyFont="1" applyBorder="1"/>
    <xf numFmtId="166" fontId="2" fillId="0" borderId="23" xfId="0" applyNumberFormat="1" applyFont="1" applyBorder="1"/>
    <xf numFmtId="43" fontId="1" fillId="0" borderId="4" xfId="0" applyNumberFormat="1" applyFont="1" applyBorder="1" applyAlignment="1">
      <alignment wrapText="1"/>
    </xf>
    <xf numFmtId="43" fontId="1" fillId="2" borderId="4" xfId="0" applyNumberFormat="1" applyFont="1" applyFill="1" applyBorder="1" applyAlignment="1">
      <alignment wrapText="1"/>
    </xf>
    <xf numFmtId="43" fontId="1" fillId="4" borderId="4" xfId="0" applyNumberFormat="1" applyFont="1" applyFill="1" applyBorder="1"/>
    <xf numFmtId="43" fontId="2" fillId="7" borderId="18" xfId="0" applyNumberFormat="1" applyFont="1" applyFill="1" applyBorder="1"/>
    <xf numFmtId="166" fontId="5" fillId="0" borderId="0" xfId="0" applyNumberFormat="1" applyFont="1"/>
    <xf numFmtId="43" fontId="2" fillId="0" borderId="24" xfId="0" quotePrefix="1" applyNumberFormat="1" applyFont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43" fontId="2" fillId="0" borderId="25" xfId="0" applyNumberFormat="1" applyFont="1" applyBorder="1" applyAlignment="1">
      <alignment horizontal="center" wrapText="1"/>
    </xf>
    <xf numFmtId="43" fontId="2" fillId="0" borderId="25" xfId="0" applyNumberFormat="1" applyFont="1" applyBorder="1" applyAlignment="1">
      <alignment wrapText="1"/>
    </xf>
    <xf numFmtId="43" fontId="2" fillId="2" borderId="25" xfId="0" applyNumberFormat="1" applyFont="1" applyFill="1" applyBorder="1" applyAlignment="1">
      <alignment wrapText="1"/>
    </xf>
    <xf numFmtId="43" fontId="2" fillId="2" borderId="25" xfId="0" applyNumberFormat="1" applyFont="1" applyFill="1" applyBorder="1"/>
    <xf numFmtId="43" fontId="2" fillId="3" borderId="25" xfId="0" applyNumberFormat="1" applyFont="1" applyFill="1" applyBorder="1"/>
    <xf numFmtId="43" fontId="2" fillId="4" borderId="25" xfId="0" applyNumberFormat="1" applyFont="1" applyFill="1" applyBorder="1"/>
    <xf numFmtId="43" fontId="1" fillId="0" borderId="0" xfId="0" applyNumberFormat="1" applyFont="1" applyAlignment="1">
      <alignment wrapText="1"/>
    </xf>
    <xf numFmtId="43" fontId="1" fillId="2" borderId="0" xfId="0" applyNumberFormat="1" applyFont="1" applyFill="1" applyBorder="1" applyAlignment="1">
      <alignment wrapText="1"/>
    </xf>
    <xf numFmtId="43" fontId="1" fillId="2" borderId="0" xfId="0" applyNumberFormat="1" applyFont="1" applyFill="1" applyBorder="1"/>
    <xf numFmtId="43" fontId="1" fillId="0" borderId="18" xfId="0" applyNumberFormat="1" applyFont="1" applyBorder="1" applyAlignment="1">
      <alignment wrapText="1"/>
    </xf>
    <xf numFmtId="43" fontId="1" fillId="2" borderId="18" xfId="0" applyNumberFormat="1" applyFont="1" applyFill="1" applyBorder="1" applyAlignment="1">
      <alignment wrapText="1"/>
    </xf>
    <xf numFmtId="43" fontId="1" fillId="2" borderId="18" xfId="0" applyNumberFormat="1" applyFont="1" applyFill="1" applyBorder="1"/>
    <xf numFmtId="43" fontId="2" fillId="3" borderId="18" xfId="0" applyNumberFormat="1" applyFont="1" applyFill="1" applyBorder="1"/>
    <xf numFmtId="43" fontId="2" fillId="4" borderId="18" xfId="0" applyNumberFormat="1" applyFont="1" applyFill="1" applyBorder="1"/>
    <xf numFmtId="4" fontId="2" fillId="4" borderId="18" xfId="0" applyNumberFormat="1" applyFont="1" applyFill="1" applyBorder="1"/>
    <xf numFmtId="43" fontId="2" fillId="0" borderId="26" xfId="0" quotePrefix="1" applyNumberFormat="1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43" fontId="2" fillId="0" borderId="27" xfId="0" applyNumberFormat="1" applyFont="1" applyBorder="1" applyAlignment="1">
      <alignment horizontal="center" wrapText="1"/>
    </xf>
    <xf numFmtId="43" fontId="2" fillId="0" borderId="27" xfId="0" applyNumberFormat="1" applyFont="1" applyBorder="1" applyAlignment="1">
      <alignment wrapText="1"/>
    </xf>
    <xf numFmtId="43" fontId="2" fillId="2" borderId="28" xfId="0" applyNumberFormat="1" applyFont="1" applyFill="1" applyBorder="1" applyAlignment="1">
      <alignment wrapText="1"/>
    </xf>
    <xf numFmtId="43" fontId="2" fillId="2" borderId="27" xfId="0" applyNumberFormat="1" applyFont="1" applyFill="1" applyBorder="1"/>
    <xf numFmtId="43" fontId="2" fillId="4" borderId="17" xfId="0" applyNumberFormat="1" applyFont="1" applyFill="1" applyBorder="1"/>
    <xf numFmtId="43" fontId="2" fillId="0" borderId="29" xfId="0" quotePrefix="1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43" fontId="2" fillId="0" borderId="30" xfId="0" applyNumberFormat="1" applyFont="1" applyBorder="1" applyAlignment="1">
      <alignment horizontal="center" wrapText="1"/>
    </xf>
    <xf numFmtId="43" fontId="2" fillId="0" borderId="30" xfId="0" applyNumberFormat="1" applyFont="1" applyBorder="1" applyAlignment="1">
      <alignment wrapText="1"/>
    </xf>
    <xf numFmtId="43" fontId="2" fillId="2" borderId="31" xfId="0" applyNumberFormat="1" applyFont="1" applyFill="1" applyBorder="1" applyAlignment="1">
      <alignment wrapText="1"/>
    </xf>
    <xf numFmtId="43" fontId="2" fillId="2" borderId="31" xfId="0" applyNumberFormat="1" applyFont="1" applyFill="1" applyBorder="1"/>
    <xf numFmtId="43" fontId="2" fillId="2" borderId="30" xfId="0" applyNumberFormat="1" applyFont="1" applyFill="1" applyBorder="1"/>
    <xf numFmtId="43" fontId="2" fillId="3" borderId="30" xfId="0" applyNumberFormat="1" applyFont="1" applyFill="1" applyBorder="1"/>
    <xf numFmtId="43" fontId="2" fillId="4" borderId="30" xfId="0" applyNumberFormat="1" applyFont="1" applyFill="1" applyBorder="1"/>
    <xf numFmtId="43" fontId="2" fillId="3" borderId="12" xfId="0" applyNumberFormat="1" applyFont="1" applyFill="1" applyBorder="1"/>
    <xf numFmtId="43" fontId="2" fillId="0" borderId="32" xfId="0" quotePrefix="1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43" fontId="2" fillId="0" borderId="17" xfId="0" applyNumberFormat="1" applyFont="1" applyBorder="1" applyAlignment="1">
      <alignment horizontal="center" wrapText="1"/>
    </xf>
    <xf numFmtId="43" fontId="2" fillId="0" borderId="17" xfId="0" applyNumberFormat="1" applyFont="1" applyBorder="1" applyAlignment="1">
      <alignment wrapText="1"/>
    </xf>
    <xf numFmtId="43" fontId="2" fillId="2" borderId="17" xfId="0" applyNumberFormat="1" applyFont="1" applyFill="1" applyBorder="1" applyAlignment="1">
      <alignment wrapText="1"/>
    </xf>
    <xf numFmtId="43" fontId="2" fillId="2" borderId="17" xfId="0" applyNumberFormat="1" applyFont="1" applyFill="1" applyBorder="1"/>
    <xf numFmtId="43" fontId="1" fillId="3" borderId="0" xfId="0" applyNumberFormat="1" applyFont="1" applyFill="1" applyBorder="1"/>
    <xf numFmtId="4" fontId="2" fillId="4" borderId="0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right" wrapText="1"/>
    </xf>
    <xf numFmtId="43" fontId="2" fillId="2" borderId="0" xfId="0" applyNumberFormat="1" applyFont="1" applyFill="1" applyBorder="1" applyAlignment="1">
      <alignment horizontal="right" wrapText="1"/>
    </xf>
    <xf numFmtId="43" fontId="2" fillId="2" borderId="0" xfId="0" applyNumberFormat="1" applyFont="1" applyFill="1" applyBorder="1" applyAlignment="1">
      <alignment horizontal="right"/>
    </xf>
    <xf numFmtId="43" fontId="2" fillId="4" borderId="0" xfId="0" applyNumberFormat="1" applyFont="1" applyFill="1" applyBorder="1" applyAlignment="1">
      <alignment horizontal="right" wrapText="1"/>
    </xf>
    <xf numFmtId="43" fontId="2" fillId="4" borderId="0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wrapText="1"/>
    </xf>
    <xf numFmtId="43" fontId="2" fillId="4" borderId="0" xfId="0" applyNumberFormat="1" applyFont="1" applyFill="1" applyBorder="1" applyAlignment="1">
      <alignment wrapText="1"/>
    </xf>
    <xf numFmtId="9" fontId="2" fillId="0" borderId="0" xfId="0" applyNumberFormat="1" applyFont="1" applyAlignment="1">
      <alignment horizontal="right"/>
    </xf>
    <xf numFmtId="43" fontId="2" fillId="0" borderId="18" xfId="0" applyNumberFormat="1" applyFont="1" applyBorder="1" applyAlignment="1">
      <alignment wrapText="1"/>
    </xf>
    <xf numFmtId="43" fontId="2" fillId="2" borderId="18" xfId="0" applyNumberFormat="1" applyFont="1" applyFill="1" applyBorder="1" applyAlignment="1">
      <alignment wrapText="1"/>
    </xf>
    <xf numFmtId="4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left"/>
    </xf>
    <xf numFmtId="43" fontId="1" fillId="0" borderId="0" xfId="0" applyNumberFormat="1" applyFont="1" applyAlignment="1">
      <alignment horizontal="center"/>
    </xf>
    <xf numFmtId="43" fontId="1" fillId="0" borderId="19" xfId="0" applyNumberFormat="1" applyFont="1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43" fontId="2" fillId="0" borderId="11" xfId="0" applyNumberFormat="1" applyFont="1" applyBorder="1"/>
    <xf numFmtId="43" fontId="2" fillId="0" borderId="33" xfId="0" applyNumberFormat="1" applyFont="1" applyBorder="1"/>
    <xf numFmtId="43" fontId="2" fillId="0" borderId="11" xfId="0" applyNumberFormat="1" applyFont="1" applyBorder="1" applyAlignment="1">
      <alignment horizontal="right"/>
    </xf>
    <xf numFmtId="43" fontId="1" fillId="0" borderId="0" xfId="0" applyNumberFormat="1" applyFont="1" applyAlignment="1">
      <alignment horizontal="right"/>
    </xf>
    <xf numFmtId="43" fontId="2" fillId="0" borderId="22" xfId="0" applyNumberFormat="1" applyFont="1" applyBorder="1" applyAlignment="1">
      <alignment horizontal="right"/>
    </xf>
    <xf numFmtId="165" fontId="2" fillId="0" borderId="23" xfId="0" applyNumberFormat="1" applyFont="1" applyBorder="1"/>
    <xf numFmtId="43" fontId="2" fillId="0" borderId="18" xfId="0" applyNumberFormat="1" applyFont="1" applyBorder="1" applyAlignment="1">
      <alignment horizontal="center"/>
    </xf>
    <xf numFmtId="43" fontId="2" fillId="0" borderId="34" xfId="0" applyNumberFormat="1" applyFont="1" applyBorder="1"/>
    <xf numFmtId="43" fontId="2" fillId="0" borderId="22" xfId="0" applyNumberFormat="1" applyFont="1" applyBorder="1"/>
    <xf numFmtId="43" fontId="2" fillId="0" borderId="23" xfId="0" applyNumberFormat="1" applyFont="1" applyBorder="1"/>
    <xf numFmtId="43" fontId="1" fillId="4" borderId="0" xfId="0" applyNumberFormat="1" applyFont="1" applyFill="1" applyBorder="1"/>
    <xf numFmtId="43" fontId="1" fillId="4" borderId="18" xfId="0" applyNumberFormat="1" applyFont="1" applyFill="1" applyBorder="1"/>
    <xf numFmtId="166" fontId="5" fillId="5" borderId="8" xfId="0" applyNumberFormat="1" applyFont="1" applyFill="1" applyBorder="1" applyAlignment="1">
      <alignment horizontal="center" wrapText="1"/>
    </xf>
    <xf numFmtId="166" fontId="5" fillId="5" borderId="9" xfId="0" applyNumberFormat="1" applyFont="1" applyFill="1" applyBorder="1" applyAlignment="1">
      <alignment horizontal="center" wrapText="1"/>
    </xf>
    <xf numFmtId="166" fontId="5" fillId="5" borderId="10" xfId="0" applyNumberFormat="1" applyFont="1" applyFill="1" applyBorder="1" applyAlignment="1">
      <alignment horizontal="center" wrapText="1"/>
    </xf>
    <xf numFmtId="43" fontId="1" fillId="0" borderId="14" xfId="0" applyNumberFormat="1" applyFont="1" applyBorder="1" applyAlignment="1">
      <alignment horizontal="left" wrapText="1"/>
    </xf>
    <xf numFmtId="0" fontId="7" fillId="0" borderId="14" xfId="0" applyFont="1" applyBorder="1"/>
    <xf numFmtId="43" fontId="1" fillId="0" borderId="11" xfId="0" applyNumberFormat="1" applyFont="1" applyBorder="1" applyAlignment="1">
      <alignment horizontal="center" wrapText="1"/>
    </xf>
    <xf numFmtId="0" fontId="0" fillId="0" borderId="0" xfId="0" applyFont="1" applyAlignment="1"/>
    <xf numFmtId="43" fontId="1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sigda/Downloads/FY22%20Budget%20Book%20as%20of%2020210416%20Master%20Voted%20on%2004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 Allocation"/>
      <sheetName val="Insuranc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AEF8-3B86-1D4A-BC89-F9ED0DDC5638}">
  <sheetPr>
    <pageSetUpPr fitToPage="1"/>
  </sheetPr>
  <dimension ref="A1:AQ1000"/>
  <sheetViews>
    <sheetView tabSelected="1" workbookViewId="0">
      <pane xSplit="5" ySplit="1" topLeftCell="J2" activePane="bottomRight" state="frozen"/>
      <selection pane="topRight" activeCell="F1" sqref="F1"/>
      <selection pane="bottomLeft" activeCell="A2" sqref="A2"/>
      <selection pane="bottomRight" activeCell="P192" sqref="P192:P193"/>
    </sheetView>
  </sheetViews>
  <sheetFormatPr defaultColWidth="12.625" defaultRowHeight="14.25" x14ac:dyDescent="0.2"/>
  <cols>
    <col min="1" max="1" width="7.625" style="12" hidden="1" customWidth="1"/>
    <col min="2" max="2" width="5.625" style="12" hidden="1" customWidth="1"/>
    <col min="3" max="3" width="4.875" style="12" customWidth="1"/>
    <col min="4" max="4" width="29.375" style="12" customWidth="1"/>
    <col min="5" max="5" width="65.125" style="12" customWidth="1"/>
    <col min="6" max="8" width="15.5" style="12" hidden="1" customWidth="1"/>
    <col min="9" max="9" width="17.125" style="12" hidden="1" customWidth="1"/>
    <col min="10" max="10" width="20.125" style="12" customWidth="1"/>
    <col min="11" max="11" width="23.125" style="12" customWidth="1"/>
    <col min="12" max="12" width="27.125" style="12" customWidth="1"/>
    <col min="13" max="13" width="20.125" style="12" customWidth="1"/>
    <col min="14" max="14" width="19" style="12" customWidth="1"/>
    <col min="15" max="15" width="16.5" style="12" customWidth="1"/>
    <col min="16" max="16" width="17.5" style="12" customWidth="1"/>
    <col min="17" max="17" width="17.375" style="12" customWidth="1"/>
    <col min="18" max="18" width="10" style="12" customWidth="1"/>
    <col min="19" max="19" width="28.875" style="12" customWidth="1"/>
    <col min="20" max="20" width="23.625" style="12" customWidth="1"/>
    <col min="21" max="21" width="25.625" style="12" customWidth="1"/>
    <col min="22" max="22" width="10.625" style="12" customWidth="1"/>
    <col min="23" max="23" width="15.625" style="12" customWidth="1"/>
    <col min="24" max="24" width="8.125" style="12" customWidth="1"/>
    <col min="25" max="25" width="15" style="12" customWidth="1"/>
    <col min="26" max="26" width="8.125" style="12" customWidth="1"/>
    <col min="27" max="27" width="16" style="12" customWidth="1"/>
    <col min="28" max="28" width="17.625" style="12" customWidth="1"/>
    <col min="29" max="29" width="14" style="12" customWidth="1"/>
    <col min="30" max="30" width="29.5" style="12" customWidth="1"/>
    <col min="31" max="43" width="8" style="12" customWidth="1"/>
    <col min="44" max="16384" width="12.625" style="12"/>
  </cols>
  <sheetData>
    <row r="1" spans="1:43" ht="49.5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7" t="s">
        <v>15</v>
      </c>
      <c r="Q1" s="7" t="s">
        <v>16</v>
      </c>
      <c r="R1" s="8" t="s">
        <v>17</v>
      </c>
      <c r="S1" s="9"/>
      <c r="T1" s="9"/>
      <c r="U1" s="10" t="s">
        <v>18</v>
      </c>
      <c r="V1" s="11" t="s">
        <v>17</v>
      </c>
      <c r="W1" s="10" t="s">
        <v>19</v>
      </c>
      <c r="X1" s="11" t="s">
        <v>17</v>
      </c>
      <c r="Y1" s="10" t="s">
        <v>20</v>
      </c>
      <c r="Z1" s="11" t="s">
        <v>17</v>
      </c>
      <c r="AA1" s="10" t="s">
        <v>21</v>
      </c>
      <c r="AB1" s="11" t="s">
        <v>17</v>
      </c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7.25" x14ac:dyDescent="0.35">
      <c r="A2" s="13" t="s">
        <v>22</v>
      </c>
      <c r="B2" s="14">
        <v>122</v>
      </c>
      <c r="C2" s="14" t="s">
        <v>23</v>
      </c>
      <c r="D2" s="14" t="s">
        <v>24</v>
      </c>
      <c r="E2" s="14" t="s">
        <v>25</v>
      </c>
      <c r="F2" s="15">
        <v>8358.25</v>
      </c>
      <c r="G2" s="15">
        <v>10213.76</v>
      </c>
      <c r="H2" s="16">
        <v>10818.9</v>
      </c>
      <c r="I2" s="16">
        <v>10772.58</v>
      </c>
      <c r="J2" s="16">
        <v>12000</v>
      </c>
      <c r="K2" s="17">
        <v>12000</v>
      </c>
      <c r="L2" s="18">
        <v>-4400</v>
      </c>
      <c r="M2" s="19">
        <f t="shared" ref="M2:M170" si="0">+K2+L2</f>
        <v>7600</v>
      </c>
      <c r="N2" s="20"/>
      <c r="O2" s="20">
        <v>0</v>
      </c>
      <c r="P2" s="21">
        <f t="shared" ref="P2:P101" si="1">ROUND(+M2+N2+O2,0)</f>
        <v>7600</v>
      </c>
      <c r="Q2" s="21">
        <f t="shared" ref="Q2:Q170" si="2">+P2-J2</f>
        <v>-4400</v>
      </c>
      <c r="R2" s="22">
        <f t="shared" ref="R2:R171" si="3">+Q2/J2</f>
        <v>-0.36666666666666664</v>
      </c>
      <c r="S2" s="23"/>
      <c r="T2" s="23"/>
      <c r="U2" s="24">
        <f t="shared" ref="U2:U9" si="4">+V2*P2</f>
        <v>212.8</v>
      </c>
      <c r="V2" s="25">
        <v>2.8000000000000001E-2</v>
      </c>
      <c r="W2" s="24">
        <f t="shared" ref="W2:W9" si="5">+X2*P2</f>
        <v>281.2</v>
      </c>
      <c r="X2" s="25">
        <v>3.6999999999999998E-2</v>
      </c>
      <c r="Y2" s="24">
        <f t="shared" ref="Y2:Y9" si="6">+Z2*P2</f>
        <v>372.40000000000003</v>
      </c>
      <c r="Z2" s="25">
        <v>4.9000000000000002E-2</v>
      </c>
      <c r="AA2" s="24">
        <f t="shared" ref="AA2:AA9" si="7">+AB2*P2</f>
        <v>136.79999999999998</v>
      </c>
      <c r="AB2" s="25">
        <v>1.7999999999999999E-2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ht="17.25" x14ac:dyDescent="0.35">
      <c r="A3" s="26" t="s">
        <v>22</v>
      </c>
      <c r="B3" s="27">
        <v>123</v>
      </c>
      <c r="C3" s="27" t="s">
        <v>26</v>
      </c>
      <c r="D3" s="27" t="s">
        <v>27</v>
      </c>
      <c r="E3" s="27" t="s">
        <v>28</v>
      </c>
      <c r="F3" s="28">
        <v>131794.51999999999</v>
      </c>
      <c r="G3" s="28">
        <v>114730.63</v>
      </c>
      <c r="H3" s="28">
        <v>123025.23</v>
      </c>
      <c r="I3" s="28">
        <v>120395.5</v>
      </c>
      <c r="J3" s="28">
        <v>144691</v>
      </c>
      <c r="K3" s="18">
        <v>144691</v>
      </c>
      <c r="L3" s="18">
        <v>0</v>
      </c>
      <c r="M3" s="19">
        <f t="shared" si="0"/>
        <v>144691</v>
      </c>
      <c r="N3" s="20"/>
      <c r="O3" s="20">
        <v>0</v>
      </c>
      <c r="P3" s="21">
        <f t="shared" si="1"/>
        <v>144691</v>
      </c>
      <c r="Q3" s="21">
        <f t="shared" si="2"/>
        <v>0</v>
      </c>
      <c r="R3" s="22">
        <f t="shared" si="3"/>
        <v>0</v>
      </c>
      <c r="S3" s="23"/>
      <c r="T3" s="23"/>
      <c r="U3" s="24">
        <f t="shared" si="4"/>
        <v>4051.348</v>
      </c>
      <c r="V3" s="25">
        <v>2.8000000000000001E-2</v>
      </c>
      <c r="W3" s="24">
        <f t="shared" si="5"/>
        <v>5353.567</v>
      </c>
      <c r="X3" s="25">
        <v>3.6999999999999998E-2</v>
      </c>
      <c r="Y3" s="24">
        <f t="shared" si="6"/>
        <v>7089.8590000000004</v>
      </c>
      <c r="Z3" s="25">
        <v>4.9000000000000002E-2</v>
      </c>
      <c r="AA3" s="24">
        <f t="shared" si="7"/>
        <v>2604.4379999999996</v>
      </c>
      <c r="AB3" s="25">
        <v>1.7999999999999999E-2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ht="17.25" x14ac:dyDescent="0.35">
      <c r="A4" s="26" t="s">
        <v>22</v>
      </c>
      <c r="B4" s="27">
        <v>123</v>
      </c>
      <c r="C4" s="27" t="s">
        <v>26</v>
      </c>
      <c r="D4" s="27" t="s">
        <v>29</v>
      </c>
      <c r="E4" s="27" t="s">
        <v>30</v>
      </c>
      <c r="F4" s="28">
        <v>62424.08</v>
      </c>
      <c r="G4" s="28">
        <v>63672</v>
      </c>
      <c r="H4" s="28">
        <v>70000</v>
      </c>
      <c r="I4" s="28">
        <v>72499.960000000006</v>
      </c>
      <c r="J4" s="28">
        <v>75000</v>
      </c>
      <c r="K4" s="18">
        <v>65980</v>
      </c>
      <c r="L4" s="18">
        <v>0</v>
      </c>
      <c r="M4" s="19">
        <f t="shared" si="0"/>
        <v>65980</v>
      </c>
      <c r="N4" s="20"/>
      <c r="O4" s="20">
        <v>0</v>
      </c>
      <c r="P4" s="21">
        <f t="shared" si="1"/>
        <v>65980</v>
      </c>
      <c r="Q4" s="21">
        <f t="shared" si="2"/>
        <v>-9020</v>
      </c>
      <c r="R4" s="22">
        <f t="shared" si="3"/>
        <v>-0.12026666666666666</v>
      </c>
      <c r="S4" s="23"/>
      <c r="T4" s="23"/>
      <c r="U4" s="24">
        <f t="shared" si="4"/>
        <v>1847.44</v>
      </c>
      <c r="V4" s="25">
        <v>2.8000000000000001E-2</v>
      </c>
      <c r="W4" s="24">
        <f t="shared" si="5"/>
        <v>2441.2599999999998</v>
      </c>
      <c r="X4" s="25">
        <v>3.6999999999999998E-2</v>
      </c>
      <c r="Y4" s="24">
        <f t="shared" si="6"/>
        <v>3233.02</v>
      </c>
      <c r="Z4" s="25">
        <v>4.9000000000000002E-2</v>
      </c>
      <c r="AA4" s="24">
        <f t="shared" si="7"/>
        <v>1187.6399999999999</v>
      </c>
      <c r="AB4" s="25">
        <v>1.7999999999999999E-2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ht="17.25" x14ac:dyDescent="0.35">
      <c r="A5" s="26" t="s">
        <v>22</v>
      </c>
      <c r="B5" s="27">
        <v>123</v>
      </c>
      <c r="C5" s="27" t="s">
        <v>26</v>
      </c>
      <c r="D5" s="27" t="s">
        <v>31</v>
      </c>
      <c r="E5" s="27" t="s">
        <v>32</v>
      </c>
      <c r="F5" s="28">
        <v>0</v>
      </c>
      <c r="G5" s="28">
        <v>2005.06</v>
      </c>
      <c r="H5" s="28">
        <v>13704.05</v>
      </c>
      <c r="I5" s="28">
        <v>41588.660000000003</v>
      </c>
      <c r="J5" s="28">
        <f>44126+1200</f>
        <v>45326</v>
      </c>
      <c r="K5" s="18">
        <v>45340</v>
      </c>
      <c r="L5" s="18">
        <v>0</v>
      </c>
      <c r="M5" s="19">
        <f t="shared" si="0"/>
        <v>45340</v>
      </c>
      <c r="N5" s="20"/>
      <c r="O5" s="20">
        <v>0</v>
      </c>
      <c r="P5" s="21">
        <f t="shared" si="1"/>
        <v>45340</v>
      </c>
      <c r="Q5" s="21">
        <f t="shared" si="2"/>
        <v>14</v>
      </c>
      <c r="R5" s="22">
        <f t="shared" si="3"/>
        <v>3.0887349424171557E-4</v>
      </c>
      <c r="S5" s="23"/>
      <c r="T5" s="23"/>
      <c r="U5" s="24">
        <f t="shared" si="4"/>
        <v>1269.52</v>
      </c>
      <c r="V5" s="25">
        <v>2.8000000000000001E-2</v>
      </c>
      <c r="W5" s="24">
        <f t="shared" si="5"/>
        <v>1677.58</v>
      </c>
      <c r="X5" s="25">
        <v>3.6999999999999998E-2</v>
      </c>
      <c r="Y5" s="24">
        <f t="shared" si="6"/>
        <v>2221.6600000000003</v>
      </c>
      <c r="Z5" s="25">
        <v>4.9000000000000002E-2</v>
      </c>
      <c r="AA5" s="24">
        <f t="shared" si="7"/>
        <v>816.11999999999989</v>
      </c>
      <c r="AB5" s="25">
        <v>1.7999999999999999E-2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 ht="17.25" x14ac:dyDescent="0.35">
      <c r="A6" s="29"/>
      <c r="B6" s="27"/>
      <c r="C6" s="27" t="s">
        <v>26</v>
      </c>
      <c r="D6" s="27" t="s">
        <v>33</v>
      </c>
      <c r="E6" s="27" t="s">
        <v>34</v>
      </c>
      <c r="F6" s="28"/>
      <c r="G6" s="28"/>
      <c r="H6" s="28"/>
      <c r="I6" s="28"/>
      <c r="J6" s="28">
        <v>0</v>
      </c>
      <c r="K6" s="18">
        <v>11951</v>
      </c>
      <c r="L6" s="18">
        <v>0</v>
      </c>
      <c r="M6" s="19">
        <f t="shared" si="0"/>
        <v>11951</v>
      </c>
      <c r="N6" s="20"/>
      <c r="O6" s="20"/>
      <c r="P6" s="21">
        <f t="shared" si="1"/>
        <v>11951</v>
      </c>
      <c r="Q6" s="21">
        <f t="shared" si="2"/>
        <v>11951</v>
      </c>
      <c r="R6" s="22" t="e">
        <f t="shared" si="3"/>
        <v>#DIV/0!</v>
      </c>
      <c r="S6" s="23"/>
      <c r="T6" s="23"/>
      <c r="U6" s="24">
        <f t="shared" si="4"/>
        <v>334.62799999999999</v>
      </c>
      <c r="V6" s="25">
        <v>2.8000000000000001E-2</v>
      </c>
      <c r="W6" s="24">
        <f t="shared" si="5"/>
        <v>442.18699999999995</v>
      </c>
      <c r="X6" s="25">
        <v>3.6999999999999998E-2</v>
      </c>
      <c r="Y6" s="24">
        <f t="shared" si="6"/>
        <v>585.59900000000005</v>
      </c>
      <c r="Z6" s="25">
        <v>4.9000000000000002E-2</v>
      </c>
      <c r="AA6" s="24">
        <f t="shared" si="7"/>
        <v>215.11799999999999</v>
      </c>
      <c r="AB6" s="25">
        <v>1.7999999999999999E-2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17.25" x14ac:dyDescent="0.35">
      <c r="A7" s="26" t="s">
        <v>22</v>
      </c>
      <c r="B7" s="27">
        <v>123</v>
      </c>
      <c r="C7" s="27" t="s">
        <v>23</v>
      </c>
      <c r="D7" s="27" t="s">
        <v>35</v>
      </c>
      <c r="E7" s="27" t="s">
        <v>36</v>
      </c>
      <c r="F7" s="28">
        <v>500</v>
      </c>
      <c r="G7" s="28">
        <v>312.98</v>
      </c>
      <c r="H7" s="28">
        <v>250</v>
      </c>
      <c r="I7" s="28">
        <v>99.38</v>
      </c>
      <c r="J7" s="28">
        <v>500</v>
      </c>
      <c r="K7" s="18">
        <v>1000</v>
      </c>
      <c r="L7" s="18">
        <v>0</v>
      </c>
      <c r="M7" s="19">
        <f t="shared" si="0"/>
        <v>1000</v>
      </c>
      <c r="N7" s="20"/>
      <c r="O7" s="20">
        <v>0</v>
      </c>
      <c r="P7" s="21">
        <f t="shared" si="1"/>
        <v>1000</v>
      </c>
      <c r="Q7" s="21">
        <f t="shared" si="2"/>
        <v>500</v>
      </c>
      <c r="R7" s="22">
        <f t="shared" si="3"/>
        <v>1</v>
      </c>
      <c r="S7" s="23"/>
      <c r="T7" s="23"/>
      <c r="U7" s="24">
        <f t="shared" si="4"/>
        <v>28</v>
      </c>
      <c r="V7" s="25">
        <v>2.8000000000000001E-2</v>
      </c>
      <c r="W7" s="24">
        <f t="shared" si="5"/>
        <v>37</v>
      </c>
      <c r="X7" s="25">
        <v>3.6999999999999998E-2</v>
      </c>
      <c r="Y7" s="24">
        <f t="shared" si="6"/>
        <v>49</v>
      </c>
      <c r="Z7" s="25">
        <v>4.9000000000000002E-2</v>
      </c>
      <c r="AA7" s="24">
        <f t="shared" si="7"/>
        <v>18</v>
      </c>
      <c r="AB7" s="25">
        <v>1.7999999999999999E-2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ht="17.25" x14ac:dyDescent="0.35">
      <c r="A8" s="26" t="s">
        <v>22</v>
      </c>
      <c r="B8" s="27">
        <v>152</v>
      </c>
      <c r="C8" s="27" t="s">
        <v>26</v>
      </c>
      <c r="D8" s="27" t="s">
        <v>37</v>
      </c>
      <c r="E8" s="27" t="s">
        <v>38</v>
      </c>
      <c r="F8" s="28"/>
      <c r="G8" s="28">
        <v>0</v>
      </c>
      <c r="H8" s="28">
        <v>40425</v>
      </c>
      <c r="I8" s="28">
        <v>74969.960000000006</v>
      </c>
      <c r="J8" s="28">
        <v>76764</v>
      </c>
      <c r="K8" s="18">
        <v>76469.399999999994</v>
      </c>
      <c r="L8" s="18">
        <v>0.6</v>
      </c>
      <c r="M8" s="19">
        <f t="shared" si="0"/>
        <v>76470</v>
      </c>
      <c r="N8" s="20"/>
      <c r="O8" s="20"/>
      <c r="P8" s="21">
        <f t="shared" si="1"/>
        <v>76470</v>
      </c>
      <c r="Q8" s="21">
        <f t="shared" si="2"/>
        <v>-294</v>
      </c>
      <c r="R8" s="22">
        <f t="shared" si="3"/>
        <v>-3.8299202751289666E-3</v>
      </c>
      <c r="S8" s="23"/>
      <c r="T8" s="23"/>
      <c r="U8" s="24">
        <f t="shared" si="4"/>
        <v>2141.16</v>
      </c>
      <c r="V8" s="25">
        <v>2.8000000000000001E-2</v>
      </c>
      <c r="W8" s="24">
        <f t="shared" si="5"/>
        <v>2829.39</v>
      </c>
      <c r="X8" s="25">
        <v>3.6999999999999998E-2</v>
      </c>
      <c r="Y8" s="24">
        <f t="shared" si="6"/>
        <v>3747.03</v>
      </c>
      <c r="Z8" s="25">
        <v>4.9000000000000002E-2</v>
      </c>
      <c r="AA8" s="24">
        <f t="shared" si="7"/>
        <v>1376.4599999999998</v>
      </c>
      <c r="AB8" s="25">
        <v>1.7999999999999999E-2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ht="17.25" x14ac:dyDescent="0.35">
      <c r="A9" s="26" t="s">
        <v>22</v>
      </c>
      <c r="B9" s="27">
        <v>152</v>
      </c>
      <c r="C9" s="27" t="s">
        <v>23</v>
      </c>
      <c r="D9" s="27" t="s">
        <v>39</v>
      </c>
      <c r="E9" s="27" t="s">
        <v>40</v>
      </c>
      <c r="F9" s="28"/>
      <c r="G9" s="28">
        <v>0</v>
      </c>
      <c r="H9" s="28">
        <v>4683.66</v>
      </c>
      <c r="I9" s="28">
        <v>3685.92</v>
      </c>
      <c r="J9" s="28">
        <v>5000</v>
      </c>
      <c r="K9" s="18">
        <v>5000</v>
      </c>
      <c r="L9" s="18">
        <v>0</v>
      </c>
      <c r="M9" s="19">
        <f t="shared" si="0"/>
        <v>5000</v>
      </c>
      <c r="N9" s="20"/>
      <c r="O9" s="20"/>
      <c r="P9" s="21">
        <f t="shared" si="1"/>
        <v>5000</v>
      </c>
      <c r="Q9" s="21">
        <f t="shared" si="2"/>
        <v>0</v>
      </c>
      <c r="R9" s="22">
        <f t="shared" si="3"/>
        <v>0</v>
      </c>
      <c r="S9" s="23"/>
      <c r="T9" s="23"/>
      <c r="U9" s="24">
        <f t="shared" si="4"/>
        <v>140</v>
      </c>
      <c r="V9" s="25">
        <v>2.8000000000000001E-2</v>
      </c>
      <c r="W9" s="24">
        <f t="shared" si="5"/>
        <v>185</v>
      </c>
      <c r="X9" s="25">
        <v>3.6999999999999998E-2</v>
      </c>
      <c r="Y9" s="24">
        <f t="shared" si="6"/>
        <v>245</v>
      </c>
      <c r="Z9" s="25">
        <v>4.9000000000000002E-2</v>
      </c>
      <c r="AA9" s="24">
        <f t="shared" si="7"/>
        <v>90</v>
      </c>
      <c r="AB9" s="25">
        <v>1.7999999999999999E-2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ht="16.5" x14ac:dyDescent="0.3">
      <c r="A10" s="26" t="s">
        <v>22</v>
      </c>
      <c r="B10" s="27">
        <v>131</v>
      </c>
      <c r="C10" s="27" t="s">
        <v>23</v>
      </c>
      <c r="D10" s="27" t="s">
        <v>41</v>
      </c>
      <c r="E10" s="27" t="s">
        <v>42</v>
      </c>
      <c r="F10" s="28">
        <v>249</v>
      </c>
      <c r="G10" s="28">
        <v>210</v>
      </c>
      <c r="H10" s="28">
        <v>210</v>
      </c>
      <c r="I10" s="28">
        <v>210</v>
      </c>
      <c r="J10" s="28">
        <v>600</v>
      </c>
      <c r="K10" s="19">
        <v>600</v>
      </c>
      <c r="L10" s="19"/>
      <c r="M10" s="19">
        <f t="shared" si="0"/>
        <v>600</v>
      </c>
      <c r="N10" s="20"/>
      <c r="O10" s="20">
        <v>0</v>
      </c>
      <c r="P10" s="21">
        <f t="shared" si="1"/>
        <v>600</v>
      </c>
      <c r="Q10" s="21">
        <f t="shared" si="2"/>
        <v>0</v>
      </c>
      <c r="R10" s="22">
        <f t="shared" si="3"/>
        <v>0</v>
      </c>
      <c r="S10" s="23"/>
      <c r="T10" s="23"/>
      <c r="U10" s="181"/>
      <c r="V10" s="182"/>
      <c r="W10" s="182"/>
      <c r="X10" s="182"/>
      <c r="Y10" s="182"/>
      <c r="Z10" s="182"/>
      <c r="AA10" s="182"/>
      <c r="AB10" s="18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ht="16.5" x14ac:dyDescent="0.3">
      <c r="A11" s="26" t="s">
        <v>22</v>
      </c>
      <c r="B11" s="27">
        <v>132</v>
      </c>
      <c r="C11" s="27" t="s">
        <v>23</v>
      </c>
      <c r="D11" s="27" t="s">
        <v>43</v>
      </c>
      <c r="E11" s="27" t="s">
        <v>44</v>
      </c>
      <c r="F11" s="28">
        <v>0</v>
      </c>
      <c r="G11" s="28">
        <v>0</v>
      </c>
      <c r="H11" s="28">
        <v>0</v>
      </c>
      <c r="I11" s="28">
        <v>0</v>
      </c>
      <c r="J11" s="28">
        <v>500000</v>
      </c>
      <c r="K11" s="19">
        <v>300000</v>
      </c>
      <c r="L11" s="19"/>
      <c r="M11" s="19">
        <f t="shared" si="0"/>
        <v>300000</v>
      </c>
      <c r="N11" s="30">
        <v>-50000</v>
      </c>
      <c r="O11" s="20">
        <v>0</v>
      </c>
      <c r="P11" s="21">
        <f t="shared" si="1"/>
        <v>250000</v>
      </c>
      <c r="Q11" s="21">
        <f t="shared" si="2"/>
        <v>-250000</v>
      </c>
      <c r="R11" s="22">
        <f t="shared" si="3"/>
        <v>-0.5</v>
      </c>
      <c r="S11" s="31"/>
      <c r="T11" s="23"/>
      <c r="U11" s="181"/>
      <c r="V11" s="182"/>
      <c r="W11" s="182"/>
      <c r="X11" s="182"/>
      <c r="Y11" s="182"/>
      <c r="Z11" s="182"/>
      <c r="AA11" s="182"/>
      <c r="AB11" s="18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ht="17.25" x14ac:dyDescent="0.35">
      <c r="A12" s="26" t="s">
        <v>22</v>
      </c>
      <c r="B12" s="27">
        <v>135</v>
      </c>
      <c r="C12" s="27" t="s">
        <v>26</v>
      </c>
      <c r="D12" s="27" t="s">
        <v>45</v>
      </c>
      <c r="E12" s="27" t="s">
        <v>46</v>
      </c>
      <c r="F12" s="32">
        <v>75000</v>
      </c>
      <c r="G12" s="32">
        <v>83500</v>
      </c>
      <c r="H12" s="28">
        <v>96000</v>
      </c>
      <c r="I12" s="28">
        <v>101000.12</v>
      </c>
      <c r="J12" s="28">
        <v>104550</v>
      </c>
      <c r="K12" s="18">
        <f>ROUNDUP(106610.4,1)</f>
        <v>106610.4</v>
      </c>
      <c r="L12" s="18">
        <v>0.6</v>
      </c>
      <c r="M12" s="19">
        <f t="shared" si="0"/>
        <v>106611</v>
      </c>
      <c r="N12" s="20"/>
      <c r="O12" s="20">
        <v>0</v>
      </c>
      <c r="P12" s="21">
        <f t="shared" si="1"/>
        <v>106611</v>
      </c>
      <c r="Q12" s="21">
        <f t="shared" si="2"/>
        <v>2061</v>
      </c>
      <c r="R12" s="22">
        <f t="shared" si="3"/>
        <v>1.9713055954088954E-2</v>
      </c>
      <c r="S12" s="23"/>
      <c r="T12" s="23"/>
      <c r="U12" s="24">
        <f t="shared" ref="U12:U17" si="8">+V12*P12</f>
        <v>2985.1080000000002</v>
      </c>
      <c r="V12" s="25">
        <v>2.8000000000000001E-2</v>
      </c>
      <c r="W12" s="24">
        <f t="shared" ref="W12:W27" si="9">+X12*P12</f>
        <v>3944.607</v>
      </c>
      <c r="X12" s="25">
        <v>3.6999999999999998E-2</v>
      </c>
      <c r="Y12" s="24">
        <f t="shared" ref="Y12:Y27" si="10">+Z12*P12</f>
        <v>5223.9390000000003</v>
      </c>
      <c r="Z12" s="25">
        <v>4.9000000000000002E-2</v>
      </c>
      <c r="AA12" s="24">
        <f t="shared" ref="AA12:AA27" si="11">+AB12*P12</f>
        <v>1918.9979999999998</v>
      </c>
      <c r="AB12" s="25">
        <v>1.7999999999999999E-2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ht="17.25" x14ac:dyDescent="0.35">
      <c r="A13" s="26" t="s">
        <v>22</v>
      </c>
      <c r="B13" s="27">
        <v>135</v>
      </c>
      <c r="C13" s="27" t="s">
        <v>26</v>
      </c>
      <c r="D13" s="27" t="s">
        <v>47</v>
      </c>
      <c r="E13" s="27" t="s">
        <v>48</v>
      </c>
      <c r="F13" s="32">
        <v>50426</v>
      </c>
      <c r="G13" s="32">
        <v>52982.71</v>
      </c>
      <c r="H13" s="28">
        <v>52960.2</v>
      </c>
      <c r="I13" s="28">
        <v>54766.79</v>
      </c>
      <c r="J13" s="28">
        <f>56375+2194.64</f>
        <v>58569.64</v>
      </c>
      <c r="K13" s="18">
        <v>59695.69</v>
      </c>
      <c r="L13" s="18">
        <v>0.31</v>
      </c>
      <c r="M13" s="19">
        <f t="shared" si="0"/>
        <v>59696</v>
      </c>
      <c r="N13" s="20"/>
      <c r="O13" s="20">
        <v>0</v>
      </c>
      <c r="P13" s="21">
        <f t="shared" si="1"/>
        <v>59696</v>
      </c>
      <c r="Q13" s="21">
        <f t="shared" si="2"/>
        <v>1126.3600000000006</v>
      </c>
      <c r="R13" s="22">
        <f t="shared" si="3"/>
        <v>1.9231123838220631E-2</v>
      </c>
      <c r="S13" s="23"/>
      <c r="T13" s="23"/>
      <c r="U13" s="24">
        <f t="shared" si="8"/>
        <v>1671.4880000000001</v>
      </c>
      <c r="V13" s="25">
        <v>2.8000000000000001E-2</v>
      </c>
      <c r="W13" s="24">
        <f t="shared" si="9"/>
        <v>2208.752</v>
      </c>
      <c r="X13" s="25">
        <v>3.6999999999999998E-2</v>
      </c>
      <c r="Y13" s="24">
        <f t="shared" si="10"/>
        <v>2925.1040000000003</v>
      </c>
      <c r="Z13" s="25">
        <v>4.9000000000000002E-2</v>
      </c>
      <c r="AA13" s="24">
        <f t="shared" si="11"/>
        <v>1074.528</v>
      </c>
      <c r="AB13" s="25">
        <v>1.7999999999999999E-2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ht="17.25" x14ac:dyDescent="0.35">
      <c r="A14" s="26" t="s">
        <v>22</v>
      </c>
      <c r="B14" s="27">
        <v>135</v>
      </c>
      <c r="C14" s="27" t="s">
        <v>26</v>
      </c>
      <c r="D14" s="27" t="s">
        <v>49</v>
      </c>
      <c r="E14" s="27" t="s">
        <v>50</v>
      </c>
      <c r="F14" s="32">
        <v>21731.33</v>
      </c>
      <c r="G14" s="32">
        <v>22948.46</v>
      </c>
      <c r="H14" s="28">
        <v>23774.32</v>
      </c>
      <c r="I14" s="28">
        <v>903.11</v>
      </c>
      <c r="J14" s="28">
        <v>1551</v>
      </c>
      <c r="K14" s="18">
        <v>1653</v>
      </c>
      <c r="L14" s="18">
        <v>0</v>
      </c>
      <c r="M14" s="19">
        <f t="shared" si="0"/>
        <v>1653</v>
      </c>
      <c r="N14" s="20"/>
      <c r="O14" s="20">
        <v>0</v>
      </c>
      <c r="P14" s="21">
        <f t="shared" si="1"/>
        <v>1653</v>
      </c>
      <c r="Q14" s="21">
        <f t="shared" si="2"/>
        <v>102</v>
      </c>
      <c r="R14" s="22">
        <f t="shared" si="3"/>
        <v>6.5764023210831718E-2</v>
      </c>
      <c r="S14" s="23"/>
      <c r="T14" s="23"/>
      <c r="U14" s="24">
        <f t="shared" si="8"/>
        <v>46.283999999999999</v>
      </c>
      <c r="V14" s="25">
        <v>2.8000000000000001E-2</v>
      </c>
      <c r="W14" s="24">
        <f t="shared" si="9"/>
        <v>61.160999999999994</v>
      </c>
      <c r="X14" s="25">
        <v>3.6999999999999998E-2</v>
      </c>
      <c r="Y14" s="24">
        <f t="shared" si="10"/>
        <v>80.997</v>
      </c>
      <c r="Z14" s="25">
        <v>4.9000000000000002E-2</v>
      </c>
      <c r="AA14" s="24">
        <f t="shared" si="11"/>
        <v>29.753999999999998</v>
      </c>
      <c r="AB14" s="25">
        <v>1.7999999999999999E-2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ht="17.25" x14ac:dyDescent="0.35">
      <c r="A15" s="26" t="s">
        <v>22</v>
      </c>
      <c r="B15" s="27">
        <v>135</v>
      </c>
      <c r="C15" s="27" t="s">
        <v>23</v>
      </c>
      <c r="D15" s="27" t="s">
        <v>51</v>
      </c>
      <c r="E15" s="27" t="s">
        <v>52</v>
      </c>
      <c r="F15" s="32">
        <v>32500</v>
      </c>
      <c r="G15" s="32">
        <v>33500</v>
      </c>
      <c r="H15" s="28">
        <v>33500</v>
      </c>
      <c r="I15" s="28">
        <v>33500</v>
      </c>
      <c r="J15" s="28">
        <v>33500</v>
      </c>
      <c r="K15" s="18">
        <v>35000</v>
      </c>
      <c r="L15" s="18">
        <v>0</v>
      </c>
      <c r="M15" s="19">
        <f t="shared" si="0"/>
        <v>35000</v>
      </c>
      <c r="N15" s="20"/>
      <c r="O15" s="20">
        <v>0</v>
      </c>
      <c r="P15" s="21">
        <f t="shared" si="1"/>
        <v>35000</v>
      </c>
      <c r="Q15" s="21">
        <f t="shared" si="2"/>
        <v>1500</v>
      </c>
      <c r="R15" s="22">
        <f t="shared" si="3"/>
        <v>4.4776119402985072E-2</v>
      </c>
      <c r="S15" s="23"/>
      <c r="T15" s="23"/>
      <c r="U15" s="24">
        <f t="shared" si="8"/>
        <v>2513</v>
      </c>
      <c r="V15" s="33">
        <v>7.1800000000000003E-2</v>
      </c>
      <c r="W15" s="24">
        <f t="shared" si="9"/>
        <v>4375</v>
      </c>
      <c r="X15" s="33">
        <v>0.125</v>
      </c>
      <c r="Y15" s="24">
        <f t="shared" si="10"/>
        <v>2373</v>
      </c>
      <c r="Z15" s="33">
        <v>6.7799999999999999E-2</v>
      </c>
      <c r="AA15" s="24">
        <f t="shared" si="11"/>
        <v>1354.5</v>
      </c>
      <c r="AB15" s="33">
        <v>3.8699999999999998E-2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ht="17.25" x14ac:dyDescent="0.35">
      <c r="A16" s="26" t="s">
        <v>22</v>
      </c>
      <c r="B16" s="27">
        <v>135</v>
      </c>
      <c r="C16" s="27" t="s">
        <v>23</v>
      </c>
      <c r="D16" s="27" t="s">
        <v>53</v>
      </c>
      <c r="E16" s="27" t="s">
        <v>54</v>
      </c>
      <c r="F16" s="32">
        <v>9970.8799999999992</v>
      </c>
      <c r="G16" s="32">
        <v>7270.75</v>
      </c>
      <c r="H16" s="28">
        <v>7092.43</v>
      </c>
      <c r="I16" s="28">
        <v>5998.82</v>
      </c>
      <c r="J16" s="28">
        <f>10015-157.5</f>
        <v>9857.5</v>
      </c>
      <c r="K16" s="18">
        <v>9430</v>
      </c>
      <c r="L16" s="18">
        <v>0</v>
      </c>
      <c r="M16" s="19">
        <f t="shared" si="0"/>
        <v>9430</v>
      </c>
      <c r="N16" s="20"/>
      <c r="O16" s="20">
        <v>0</v>
      </c>
      <c r="P16" s="21">
        <f t="shared" si="1"/>
        <v>9430</v>
      </c>
      <c r="Q16" s="21">
        <f t="shared" si="2"/>
        <v>-427.5</v>
      </c>
      <c r="R16" s="22">
        <f t="shared" si="3"/>
        <v>-4.3367993913264014E-2</v>
      </c>
      <c r="S16" s="23"/>
      <c r="T16" s="23"/>
      <c r="U16" s="24">
        <f t="shared" si="8"/>
        <v>264.04000000000002</v>
      </c>
      <c r="V16" s="25">
        <v>2.8000000000000001E-2</v>
      </c>
      <c r="W16" s="24">
        <f t="shared" si="9"/>
        <v>348.90999999999997</v>
      </c>
      <c r="X16" s="25">
        <v>3.6999999999999998E-2</v>
      </c>
      <c r="Y16" s="24">
        <f t="shared" si="10"/>
        <v>462.07</v>
      </c>
      <c r="Z16" s="25">
        <v>4.9000000000000002E-2</v>
      </c>
      <c r="AA16" s="24">
        <f t="shared" si="11"/>
        <v>169.73999999999998</v>
      </c>
      <c r="AB16" s="25">
        <v>1.7999999999999999E-2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ht="17.25" x14ac:dyDescent="0.35">
      <c r="A17" s="26" t="s">
        <v>22</v>
      </c>
      <c r="B17" s="27">
        <v>135</v>
      </c>
      <c r="C17" s="27" t="s">
        <v>23</v>
      </c>
      <c r="D17" s="27" t="s">
        <v>55</v>
      </c>
      <c r="E17" s="27" t="s">
        <v>56</v>
      </c>
      <c r="F17" s="32">
        <v>0</v>
      </c>
      <c r="G17" s="32">
        <v>18205.75</v>
      </c>
      <c r="H17" s="28">
        <v>15651.05</v>
      </c>
      <c r="I17" s="28">
        <v>3934</v>
      </c>
      <c r="J17" s="28">
        <f>4131+157.5</f>
        <v>4288.5</v>
      </c>
      <c r="K17" s="18">
        <v>4505</v>
      </c>
      <c r="L17" s="18">
        <v>0</v>
      </c>
      <c r="M17" s="19">
        <f t="shared" si="0"/>
        <v>4505</v>
      </c>
      <c r="N17" s="20"/>
      <c r="O17" s="20">
        <v>0</v>
      </c>
      <c r="P17" s="21">
        <f t="shared" si="1"/>
        <v>4505</v>
      </c>
      <c r="Q17" s="21">
        <f t="shared" si="2"/>
        <v>216.5</v>
      </c>
      <c r="R17" s="22">
        <f t="shared" si="3"/>
        <v>5.048385216276087E-2</v>
      </c>
      <c r="S17" s="23"/>
      <c r="T17" s="23"/>
      <c r="U17" s="24">
        <f t="shared" si="8"/>
        <v>126.14</v>
      </c>
      <c r="V17" s="25">
        <v>2.8000000000000001E-2</v>
      </c>
      <c r="W17" s="24">
        <f t="shared" si="9"/>
        <v>166.685</v>
      </c>
      <c r="X17" s="25">
        <v>3.6999999999999998E-2</v>
      </c>
      <c r="Y17" s="24">
        <f t="shared" si="10"/>
        <v>220.745</v>
      </c>
      <c r="Z17" s="25">
        <v>4.9000000000000002E-2</v>
      </c>
      <c r="AA17" s="24">
        <f t="shared" si="11"/>
        <v>81.089999999999989</v>
      </c>
      <c r="AB17" s="25">
        <v>1.7999999999999999E-2</v>
      </c>
      <c r="AC17" s="34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ht="17.25" x14ac:dyDescent="0.35">
      <c r="A18" s="26" t="s">
        <v>22</v>
      </c>
      <c r="B18" s="27">
        <v>141</v>
      </c>
      <c r="C18" s="27" t="s">
        <v>26</v>
      </c>
      <c r="D18" s="27" t="s">
        <v>57</v>
      </c>
      <c r="E18" s="27" t="s">
        <v>58</v>
      </c>
      <c r="F18" s="28">
        <v>85032</v>
      </c>
      <c r="G18" s="28">
        <v>86696.77</v>
      </c>
      <c r="H18" s="28">
        <v>96697</v>
      </c>
      <c r="I18" s="28">
        <v>96696.77</v>
      </c>
      <c r="J18" s="28">
        <v>96697</v>
      </c>
      <c r="K18" s="18">
        <v>96697</v>
      </c>
      <c r="L18" s="18"/>
      <c r="M18" s="19">
        <f t="shared" si="0"/>
        <v>96697</v>
      </c>
      <c r="N18" s="20"/>
      <c r="O18" s="20">
        <v>0</v>
      </c>
      <c r="P18" s="21">
        <f t="shared" si="1"/>
        <v>96697</v>
      </c>
      <c r="Q18" s="21">
        <f t="shared" si="2"/>
        <v>0</v>
      </c>
      <c r="R18" s="22">
        <f t="shared" si="3"/>
        <v>0</v>
      </c>
      <c r="S18" s="23"/>
      <c r="T18" s="23"/>
      <c r="U18" s="24">
        <v>0</v>
      </c>
      <c r="V18" s="35">
        <v>0</v>
      </c>
      <c r="W18" s="24">
        <f t="shared" si="9"/>
        <v>3577.7889999999998</v>
      </c>
      <c r="X18" s="25">
        <v>3.6999999999999998E-2</v>
      </c>
      <c r="Y18" s="24">
        <f t="shared" si="10"/>
        <v>4738.1530000000002</v>
      </c>
      <c r="Z18" s="25">
        <v>4.9000000000000002E-2</v>
      </c>
      <c r="AA18" s="24">
        <f t="shared" si="11"/>
        <v>0</v>
      </c>
      <c r="AB18" s="35"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ht="17.25" x14ac:dyDescent="0.35">
      <c r="A19" s="26" t="s">
        <v>22</v>
      </c>
      <c r="B19" s="27">
        <v>141</v>
      </c>
      <c r="C19" s="27" t="s">
        <v>26</v>
      </c>
      <c r="D19" s="27" t="s">
        <v>59</v>
      </c>
      <c r="E19" s="27" t="s">
        <v>60</v>
      </c>
      <c r="F19" s="28">
        <v>81456.5</v>
      </c>
      <c r="G19" s="28">
        <v>86996.71</v>
      </c>
      <c r="H19" s="28">
        <v>83220.59</v>
      </c>
      <c r="I19" s="28">
        <v>88246.24</v>
      </c>
      <c r="J19" s="28">
        <f>86920+2986.68</f>
        <v>89906.68</v>
      </c>
      <c r="K19" s="18">
        <f>67525+32906.8</f>
        <v>100431.8</v>
      </c>
      <c r="L19" s="18">
        <v>0.2</v>
      </c>
      <c r="M19" s="19">
        <f t="shared" si="0"/>
        <v>100432</v>
      </c>
      <c r="N19" s="36">
        <f>32906.8+59696-M19</f>
        <v>-7829.1999999999971</v>
      </c>
      <c r="O19" s="20"/>
      <c r="P19" s="21">
        <f t="shared" si="1"/>
        <v>92603</v>
      </c>
      <c r="Q19" s="21">
        <f t="shared" si="2"/>
        <v>2696.320000000007</v>
      </c>
      <c r="R19" s="22">
        <f t="shared" si="3"/>
        <v>2.9990207624172167E-2</v>
      </c>
      <c r="S19" s="23"/>
      <c r="T19" s="23"/>
      <c r="U19" s="24">
        <v>0</v>
      </c>
      <c r="V19" s="35">
        <v>0</v>
      </c>
      <c r="W19" s="24">
        <f t="shared" si="9"/>
        <v>3426.3109999999997</v>
      </c>
      <c r="X19" s="25">
        <v>3.6999999999999998E-2</v>
      </c>
      <c r="Y19" s="24">
        <f t="shared" si="10"/>
        <v>4537.5470000000005</v>
      </c>
      <c r="Z19" s="25">
        <v>4.9000000000000002E-2</v>
      </c>
      <c r="AA19" s="24">
        <f t="shared" si="11"/>
        <v>0</v>
      </c>
      <c r="AB19" s="35"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ht="17.25" x14ac:dyDescent="0.35">
      <c r="A20" s="26" t="s">
        <v>22</v>
      </c>
      <c r="B20" s="27">
        <v>141</v>
      </c>
      <c r="C20" s="27" t="s">
        <v>26</v>
      </c>
      <c r="D20" s="27" t="s">
        <v>61</v>
      </c>
      <c r="E20" s="27" t="s">
        <v>473</v>
      </c>
      <c r="F20" s="28">
        <v>0</v>
      </c>
      <c r="G20" s="28">
        <v>0</v>
      </c>
      <c r="H20" s="28">
        <v>1475.78</v>
      </c>
      <c r="I20" s="28">
        <v>0</v>
      </c>
      <c r="J20" s="28">
        <v>1551</v>
      </c>
      <c r="K20" s="18">
        <f>878+1868.47</f>
        <v>2746.4700000000003</v>
      </c>
      <c r="L20" s="18">
        <v>-0.47</v>
      </c>
      <c r="M20" s="19">
        <f t="shared" si="0"/>
        <v>2746.0000000000005</v>
      </c>
      <c r="N20" s="36">
        <f>1653-M20</f>
        <v>-1093.0000000000005</v>
      </c>
      <c r="O20" s="20"/>
      <c r="P20" s="21">
        <f t="shared" si="1"/>
        <v>1653</v>
      </c>
      <c r="Q20" s="21">
        <f t="shared" si="2"/>
        <v>102</v>
      </c>
      <c r="R20" s="22">
        <f t="shared" si="3"/>
        <v>6.5764023210831718E-2</v>
      </c>
      <c r="S20" s="23"/>
      <c r="T20" s="23"/>
      <c r="U20" s="24">
        <v>0</v>
      </c>
      <c r="V20" s="35">
        <v>0</v>
      </c>
      <c r="W20" s="24">
        <f t="shared" si="9"/>
        <v>61.160999999999994</v>
      </c>
      <c r="X20" s="25">
        <v>3.6999999999999998E-2</v>
      </c>
      <c r="Y20" s="24">
        <f t="shared" si="10"/>
        <v>80.997</v>
      </c>
      <c r="Z20" s="25">
        <v>4.9000000000000002E-2</v>
      </c>
      <c r="AA20" s="24">
        <f t="shared" si="11"/>
        <v>0</v>
      </c>
      <c r="AB20" s="35"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ht="17.25" x14ac:dyDescent="0.35">
      <c r="A21" s="26" t="s">
        <v>22</v>
      </c>
      <c r="B21" s="27">
        <v>141</v>
      </c>
      <c r="C21" s="27" t="s">
        <v>23</v>
      </c>
      <c r="D21" s="27" t="s">
        <v>62</v>
      </c>
      <c r="E21" s="27" t="s">
        <v>63</v>
      </c>
      <c r="F21" s="28">
        <v>40586.080000000002</v>
      </c>
      <c r="G21" s="28">
        <v>40856.92</v>
      </c>
      <c r="H21" s="28">
        <v>46238.06</v>
      </c>
      <c r="I21" s="28">
        <v>43860.08</v>
      </c>
      <c r="J21" s="28">
        <v>37680</v>
      </c>
      <c r="K21" s="18">
        <v>55100</v>
      </c>
      <c r="L21" s="37">
        <v>-9420</v>
      </c>
      <c r="M21" s="19">
        <f t="shared" si="0"/>
        <v>45680</v>
      </c>
      <c r="N21" s="38">
        <v>-10000</v>
      </c>
      <c r="O21" s="20">
        <v>0</v>
      </c>
      <c r="P21" s="21">
        <f t="shared" si="1"/>
        <v>35680</v>
      </c>
      <c r="Q21" s="21">
        <f t="shared" si="2"/>
        <v>-2000</v>
      </c>
      <c r="R21" s="22">
        <f t="shared" si="3"/>
        <v>-5.3078556263269641E-2</v>
      </c>
      <c r="S21" s="23"/>
      <c r="T21" s="23"/>
      <c r="U21" s="24">
        <v>0</v>
      </c>
      <c r="V21" s="35">
        <v>0</v>
      </c>
      <c r="W21" s="24">
        <f t="shared" si="9"/>
        <v>1320.1599999999999</v>
      </c>
      <c r="X21" s="25">
        <v>3.6999999999999998E-2</v>
      </c>
      <c r="Y21" s="24">
        <f t="shared" si="10"/>
        <v>1748.3200000000002</v>
      </c>
      <c r="Z21" s="25">
        <v>4.9000000000000002E-2</v>
      </c>
      <c r="AA21" s="24">
        <f t="shared" si="11"/>
        <v>0</v>
      </c>
      <c r="AB21" s="35"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ht="17.25" x14ac:dyDescent="0.35">
      <c r="A22" s="26" t="s">
        <v>22</v>
      </c>
      <c r="B22" s="27">
        <v>145</v>
      </c>
      <c r="C22" s="27" t="s">
        <v>26</v>
      </c>
      <c r="D22" s="27" t="s">
        <v>64</v>
      </c>
      <c r="E22" s="27" t="s">
        <v>65</v>
      </c>
      <c r="F22" s="28">
        <v>65046</v>
      </c>
      <c r="G22" s="28">
        <v>75186</v>
      </c>
      <c r="H22" s="28">
        <v>75186</v>
      </c>
      <c r="I22" s="28">
        <v>77015.88</v>
      </c>
      <c r="J22" s="28">
        <v>76721</v>
      </c>
      <c r="K22" s="18">
        <v>80556.84</v>
      </c>
      <c r="L22" s="18">
        <v>0.16</v>
      </c>
      <c r="M22" s="19">
        <f t="shared" si="0"/>
        <v>80557</v>
      </c>
      <c r="N22" s="20">
        <f>76721-M22</f>
        <v>-3836</v>
      </c>
      <c r="O22" s="36"/>
      <c r="P22" s="21">
        <f t="shared" si="1"/>
        <v>76721</v>
      </c>
      <c r="Q22" s="21">
        <f t="shared" si="2"/>
        <v>0</v>
      </c>
      <c r="R22" s="22">
        <f t="shared" si="3"/>
        <v>0</v>
      </c>
      <c r="S22" s="23"/>
      <c r="T22" s="23"/>
      <c r="U22" s="24">
        <f t="shared" ref="U22:U27" si="12">+V22*P22</f>
        <v>2148.1880000000001</v>
      </c>
      <c r="V22" s="25">
        <v>2.8000000000000001E-2</v>
      </c>
      <c r="W22" s="24">
        <f t="shared" si="9"/>
        <v>2838.6769999999997</v>
      </c>
      <c r="X22" s="25">
        <v>3.6999999999999998E-2</v>
      </c>
      <c r="Y22" s="24">
        <f t="shared" si="10"/>
        <v>3759.3290000000002</v>
      </c>
      <c r="Z22" s="25">
        <v>4.9000000000000002E-2</v>
      </c>
      <c r="AA22" s="24">
        <f t="shared" si="11"/>
        <v>1380.9779999999998</v>
      </c>
      <c r="AB22" s="25">
        <v>1.7999999999999999E-2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ht="17.25" x14ac:dyDescent="0.35">
      <c r="A23" s="26" t="s">
        <v>22</v>
      </c>
      <c r="B23" s="27">
        <v>145</v>
      </c>
      <c r="C23" s="27" t="s">
        <v>26</v>
      </c>
      <c r="D23" s="27" t="s">
        <v>66</v>
      </c>
      <c r="E23" s="27" t="s">
        <v>67</v>
      </c>
      <c r="F23" s="28"/>
      <c r="G23" s="28">
        <v>0</v>
      </c>
      <c r="H23" s="28">
        <v>0</v>
      </c>
      <c r="I23" s="28">
        <v>0</v>
      </c>
      <c r="J23" s="28">
        <v>1000</v>
      </c>
      <c r="K23" s="18">
        <v>1000</v>
      </c>
      <c r="L23" s="18"/>
      <c r="M23" s="19">
        <f t="shared" si="0"/>
        <v>1000</v>
      </c>
      <c r="N23" s="20"/>
      <c r="O23" s="20"/>
      <c r="P23" s="21">
        <f t="shared" si="1"/>
        <v>1000</v>
      </c>
      <c r="Q23" s="21">
        <f t="shared" si="2"/>
        <v>0</v>
      </c>
      <c r="R23" s="22">
        <f t="shared" si="3"/>
        <v>0</v>
      </c>
      <c r="S23" s="23"/>
      <c r="T23" s="23"/>
      <c r="U23" s="24">
        <f t="shared" si="12"/>
        <v>28</v>
      </c>
      <c r="V23" s="25">
        <v>2.8000000000000001E-2</v>
      </c>
      <c r="W23" s="24">
        <f t="shared" si="9"/>
        <v>37</v>
      </c>
      <c r="X23" s="25">
        <v>3.6999999999999998E-2</v>
      </c>
      <c r="Y23" s="24">
        <f t="shared" si="10"/>
        <v>49</v>
      </c>
      <c r="Z23" s="25">
        <v>4.9000000000000002E-2</v>
      </c>
      <c r="AA23" s="24">
        <f t="shared" si="11"/>
        <v>18</v>
      </c>
      <c r="AB23" s="25">
        <v>1.7999999999999999E-2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ht="17.25" x14ac:dyDescent="0.35">
      <c r="A24" s="26" t="s">
        <v>22</v>
      </c>
      <c r="B24" s="27">
        <v>145</v>
      </c>
      <c r="C24" s="27" t="s">
        <v>26</v>
      </c>
      <c r="D24" s="27" t="s">
        <v>68</v>
      </c>
      <c r="E24" s="27" t="s">
        <v>69</v>
      </c>
      <c r="F24" s="28">
        <v>123837.86</v>
      </c>
      <c r="G24" s="28">
        <v>134467.53</v>
      </c>
      <c r="H24" s="28">
        <v>125152.15</v>
      </c>
      <c r="I24" s="28">
        <v>130853.18</v>
      </c>
      <c r="J24" s="28">
        <f>142392+3600</f>
        <v>145992</v>
      </c>
      <c r="K24" s="18">
        <v>148824.31</v>
      </c>
      <c r="L24" s="39">
        <v>0.69</v>
      </c>
      <c r="M24" s="19">
        <f t="shared" si="0"/>
        <v>148825</v>
      </c>
      <c r="N24" s="20"/>
      <c r="O24" s="20"/>
      <c r="P24" s="21">
        <f t="shared" si="1"/>
        <v>148825</v>
      </c>
      <c r="Q24" s="21">
        <f t="shared" si="2"/>
        <v>2833</v>
      </c>
      <c r="R24" s="22">
        <f t="shared" si="3"/>
        <v>1.9405172886185543E-2</v>
      </c>
      <c r="S24" s="23"/>
      <c r="T24" s="23"/>
      <c r="U24" s="24">
        <f t="shared" si="12"/>
        <v>1488.25</v>
      </c>
      <c r="V24" s="33">
        <v>0.01</v>
      </c>
      <c r="W24" s="24">
        <f t="shared" si="9"/>
        <v>22323.75</v>
      </c>
      <c r="X24" s="33">
        <v>0.15</v>
      </c>
      <c r="Y24" s="24">
        <f t="shared" si="10"/>
        <v>22323.75</v>
      </c>
      <c r="Z24" s="33">
        <v>0.15</v>
      </c>
      <c r="AA24" s="24">
        <f t="shared" si="11"/>
        <v>22323.75</v>
      </c>
      <c r="AB24" s="33">
        <v>0.15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ht="17.25" x14ac:dyDescent="0.35">
      <c r="A25" s="26" t="s">
        <v>22</v>
      </c>
      <c r="B25" s="27">
        <v>145</v>
      </c>
      <c r="C25" s="27" t="s">
        <v>23</v>
      </c>
      <c r="D25" s="27" t="s">
        <v>70</v>
      </c>
      <c r="E25" s="27" t="s">
        <v>71</v>
      </c>
      <c r="F25" s="28">
        <v>71103.539999999994</v>
      </c>
      <c r="G25" s="28">
        <v>124157.63</v>
      </c>
      <c r="H25" s="28">
        <v>47638.26</v>
      </c>
      <c r="I25" s="28">
        <v>38411.01</v>
      </c>
      <c r="J25" s="28">
        <v>65000</v>
      </c>
      <c r="K25" s="18">
        <v>95000</v>
      </c>
      <c r="L25" s="39"/>
      <c r="M25" s="19">
        <f t="shared" si="0"/>
        <v>95000</v>
      </c>
      <c r="N25" s="30">
        <v>-23000</v>
      </c>
      <c r="O25" s="20">
        <v>0</v>
      </c>
      <c r="P25" s="21">
        <f t="shared" si="1"/>
        <v>72000</v>
      </c>
      <c r="Q25" s="21">
        <f t="shared" si="2"/>
        <v>7000</v>
      </c>
      <c r="R25" s="22">
        <f t="shared" si="3"/>
        <v>0.1076923076923077</v>
      </c>
      <c r="S25" s="23"/>
      <c r="T25" s="23"/>
      <c r="U25" s="24">
        <f t="shared" si="12"/>
        <v>0</v>
      </c>
      <c r="V25" s="33">
        <v>0</v>
      </c>
      <c r="W25" s="24" t="e">
        <f t="shared" si="9"/>
        <v>#REF!</v>
      </c>
      <c r="X25" s="40" t="e">
        <f>+'[1]Indirect Allocation'!C174</f>
        <v>#REF!</v>
      </c>
      <c r="Y25" s="24" t="e">
        <f t="shared" si="10"/>
        <v>#REF!</v>
      </c>
      <c r="Z25" s="40" t="e">
        <f>+'[1]Indirect Allocation'!C175</f>
        <v>#REF!</v>
      </c>
      <c r="AA25" s="24" t="e">
        <f t="shared" si="11"/>
        <v>#REF!</v>
      </c>
      <c r="AB25" s="40" t="e">
        <f>+'[1]Indirect Allocation'!C176</f>
        <v>#REF!</v>
      </c>
      <c r="AC25" s="34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ht="17.25" x14ac:dyDescent="0.35">
      <c r="A26" s="26" t="s">
        <v>22</v>
      </c>
      <c r="B26" s="27">
        <v>145</v>
      </c>
      <c r="C26" s="27" t="s">
        <v>23</v>
      </c>
      <c r="D26" s="27" t="s">
        <v>72</v>
      </c>
      <c r="E26" s="27" t="s">
        <v>73</v>
      </c>
      <c r="F26" s="28">
        <v>0</v>
      </c>
      <c r="G26" s="28">
        <v>0</v>
      </c>
      <c r="H26" s="28">
        <v>0</v>
      </c>
      <c r="I26" s="28">
        <v>228</v>
      </c>
      <c r="J26" s="28">
        <v>7000</v>
      </c>
      <c r="K26" s="18">
        <v>0</v>
      </c>
      <c r="L26" s="39"/>
      <c r="M26" s="19">
        <f t="shared" si="0"/>
        <v>0</v>
      </c>
      <c r="N26" s="20"/>
      <c r="O26" s="20">
        <v>0</v>
      </c>
      <c r="P26" s="21">
        <f t="shared" si="1"/>
        <v>0</v>
      </c>
      <c r="Q26" s="21">
        <f t="shared" si="2"/>
        <v>-7000</v>
      </c>
      <c r="R26" s="22">
        <f t="shared" si="3"/>
        <v>-1</v>
      </c>
      <c r="S26" s="23"/>
      <c r="T26" s="23"/>
      <c r="U26" s="24">
        <f t="shared" si="12"/>
        <v>0</v>
      </c>
      <c r="V26" s="33">
        <v>0</v>
      </c>
      <c r="W26" s="24" t="e">
        <f t="shared" si="9"/>
        <v>#REF!</v>
      </c>
      <c r="X26" s="40" t="e">
        <f>+X25</f>
        <v>#REF!</v>
      </c>
      <c r="Y26" s="24" t="e">
        <f t="shared" si="10"/>
        <v>#REF!</v>
      </c>
      <c r="Z26" s="40" t="e">
        <f>+Z25</f>
        <v>#REF!</v>
      </c>
      <c r="AA26" s="24" t="e">
        <f t="shared" si="11"/>
        <v>#REF!</v>
      </c>
      <c r="AB26" s="40" t="e">
        <f>+AB25</f>
        <v>#REF!</v>
      </c>
      <c r="AC26" s="34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43" ht="17.25" x14ac:dyDescent="0.35">
      <c r="A27" s="26" t="s">
        <v>22</v>
      </c>
      <c r="B27" s="27">
        <v>145</v>
      </c>
      <c r="C27" s="27" t="s">
        <v>23</v>
      </c>
      <c r="D27" s="27" t="s">
        <v>74</v>
      </c>
      <c r="E27" s="27" t="s">
        <v>75</v>
      </c>
      <c r="F27" s="28">
        <v>48335.72</v>
      </c>
      <c r="G27" s="28">
        <f>50321.63+8850</f>
        <v>59171.63</v>
      </c>
      <c r="H27" s="28">
        <v>49413.42</v>
      </c>
      <c r="I27" s="28">
        <v>55385.87</v>
      </c>
      <c r="J27" s="28">
        <v>56599</v>
      </c>
      <c r="K27" s="18">
        <v>77885.48</v>
      </c>
      <c r="L27" s="37">
        <v>-8229.48</v>
      </c>
      <c r="M27" s="19">
        <f t="shared" si="0"/>
        <v>69656</v>
      </c>
      <c r="N27" s="20"/>
      <c r="O27" s="20"/>
      <c r="P27" s="21">
        <f t="shared" si="1"/>
        <v>69656</v>
      </c>
      <c r="Q27" s="21">
        <f t="shared" si="2"/>
        <v>13057</v>
      </c>
      <c r="R27" s="22">
        <f t="shared" si="3"/>
        <v>0.23069312178660401</v>
      </c>
      <c r="S27" s="23"/>
      <c r="T27" s="23"/>
      <c r="U27" s="24">
        <f t="shared" si="12"/>
        <v>696.56000000000006</v>
      </c>
      <c r="V27" s="33">
        <v>0.01</v>
      </c>
      <c r="W27" s="24">
        <f t="shared" si="9"/>
        <v>10448.4</v>
      </c>
      <c r="X27" s="33">
        <v>0.15</v>
      </c>
      <c r="Y27" s="24">
        <f t="shared" si="10"/>
        <v>10448.4</v>
      </c>
      <c r="Z27" s="33">
        <v>0.15</v>
      </c>
      <c r="AA27" s="24">
        <f t="shared" si="11"/>
        <v>10448.4</v>
      </c>
      <c r="AB27" s="33">
        <v>0.15</v>
      </c>
      <c r="AC27" s="34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1:43" ht="16.5" x14ac:dyDescent="0.3">
      <c r="A28" s="26" t="s">
        <v>22</v>
      </c>
      <c r="B28" s="27">
        <v>151</v>
      </c>
      <c r="C28" s="27" t="s">
        <v>23</v>
      </c>
      <c r="D28" s="27" t="s">
        <v>76</v>
      </c>
      <c r="E28" s="27" t="s">
        <v>77</v>
      </c>
      <c r="F28" s="28">
        <v>99277.9</v>
      </c>
      <c r="G28" s="28">
        <v>155028.92000000001</v>
      </c>
      <c r="H28" s="28">
        <v>169019.62</v>
      </c>
      <c r="I28" s="28">
        <v>161381.93</v>
      </c>
      <c r="J28" s="28">
        <v>150000</v>
      </c>
      <c r="K28" s="18">
        <v>150000</v>
      </c>
      <c r="L28" s="18">
        <v>0</v>
      </c>
      <c r="M28" s="19">
        <f t="shared" si="0"/>
        <v>150000</v>
      </c>
      <c r="N28" s="20"/>
      <c r="O28" s="20">
        <v>0</v>
      </c>
      <c r="P28" s="21">
        <f t="shared" si="1"/>
        <v>150000</v>
      </c>
      <c r="Q28" s="21">
        <f t="shared" si="2"/>
        <v>0</v>
      </c>
      <c r="R28" s="22">
        <f t="shared" si="3"/>
        <v>0</v>
      </c>
      <c r="S28" s="23"/>
      <c r="T28" s="23"/>
      <c r="U28" s="181"/>
      <c r="V28" s="182"/>
      <c r="W28" s="182"/>
      <c r="X28" s="182"/>
      <c r="Y28" s="182"/>
      <c r="Z28" s="182"/>
      <c r="AA28" s="182"/>
      <c r="AB28" s="18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43" ht="16.5" x14ac:dyDescent="0.3">
      <c r="A29" s="26" t="s">
        <v>22</v>
      </c>
      <c r="B29" s="27">
        <v>161</v>
      </c>
      <c r="C29" s="27" t="s">
        <v>26</v>
      </c>
      <c r="D29" s="27" t="s">
        <v>78</v>
      </c>
      <c r="E29" s="27" t="s">
        <v>79</v>
      </c>
      <c r="F29" s="32">
        <v>65077</v>
      </c>
      <c r="G29" s="32">
        <v>65077</v>
      </c>
      <c r="H29" s="28">
        <f>65077+10140</f>
        <v>75217</v>
      </c>
      <c r="I29" s="28">
        <v>76719.759999999995</v>
      </c>
      <c r="J29" s="28">
        <f>76720+1535</f>
        <v>78255</v>
      </c>
      <c r="K29" s="18">
        <v>75212</v>
      </c>
      <c r="L29" s="18">
        <f>+J29-K29</f>
        <v>3043</v>
      </c>
      <c r="M29" s="19">
        <f t="shared" si="0"/>
        <v>78255</v>
      </c>
      <c r="N29" s="20"/>
      <c r="O29" s="20">
        <v>0</v>
      </c>
      <c r="P29" s="21">
        <f t="shared" si="1"/>
        <v>78255</v>
      </c>
      <c r="Q29" s="21">
        <f t="shared" si="2"/>
        <v>0</v>
      </c>
      <c r="R29" s="22">
        <f t="shared" si="3"/>
        <v>0</v>
      </c>
      <c r="S29" s="23"/>
      <c r="T29" s="23"/>
      <c r="U29" s="181"/>
      <c r="V29" s="182"/>
      <c r="W29" s="182"/>
      <c r="X29" s="182"/>
      <c r="Y29" s="182"/>
      <c r="Z29" s="182"/>
      <c r="AA29" s="182"/>
      <c r="AB29" s="18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1:43" ht="16.5" x14ac:dyDescent="0.3">
      <c r="A30" s="26" t="s">
        <v>22</v>
      </c>
      <c r="B30" s="27">
        <v>161</v>
      </c>
      <c r="C30" s="27" t="s">
        <v>26</v>
      </c>
      <c r="D30" s="27" t="s">
        <v>80</v>
      </c>
      <c r="E30" s="27" t="s">
        <v>81</v>
      </c>
      <c r="F30" s="32">
        <f>70044.58-7711.62</f>
        <v>62332.959999999999</v>
      </c>
      <c r="G30" s="32">
        <v>54261.25</v>
      </c>
      <c r="H30" s="28">
        <v>56411.839999999997</v>
      </c>
      <c r="I30" s="28">
        <v>51689.2</v>
      </c>
      <c r="J30" s="28">
        <f>52939+1040</f>
        <v>53979</v>
      </c>
      <c r="K30" s="18">
        <v>57568.1</v>
      </c>
      <c r="L30" s="18">
        <f>57371.45+500+500+800+175-K30-0.45</f>
        <v>1777.8999999999985</v>
      </c>
      <c r="M30" s="19">
        <f t="shared" si="0"/>
        <v>59346</v>
      </c>
      <c r="N30" s="20"/>
      <c r="O30" s="20">
        <v>0</v>
      </c>
      <c r="P30" s="21">
        <f t="shared" si="1"/>
        <v>59346</v>
      </c>
      <c r="Q30" s="21">
        <f t="shared" si="2"/>
        <v>5367</v>
      </c>
      <c r="R30" s="22">
        <f t="shared" si="3"/>
        <v>9.9427555160340131E-2</v>
      </c>
      <c r="S30" s="23"/>
      <c r="T30" s="23"/>
      <c r="U30" s="181"/>
      <c r="V30" s="182"/>
      <c r="W30" s="182"/>
      <c r="X30" s="182"/>
      <c r="Y30" s="182"/>
      <c r="Z30" s="182"/>
      <c r="AA30" s="182"/>
      <c r="AB30" s="18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ht="16.5" x14ac:dyDescent="0.3">
      <c r="A31" s="26" t="s">
        <v>22</v>
      </c>
      <c r="B31" s="27">
        <v>161</v>
      </c>
      <c r="C31" s="27" t="s">
        <v>26</v>
      </c>
      <c r="D31" s="27" t="s">
        <v>82</v>
      </c>
      <c r="E31" s="27" t="s">
        <v>83</v>
      </c>
      <c r="F31" s="32">
        <v>7711.62</v>
      </c>
      <c r="G31" s="32">
        <v>7711.62</v>
      </c>
      <c r="H31" s="28">
        <v>7711.62</v>
      </c>
      <c r="I31" s="28">
        <v>0</v>
      </c>
      <c r="J31" s="28">
        <v>0</v>
      </c>
      <c r="K31" s="18">
        <v>0</v>
      </c>
      <c r="L31" s="18"/>
      <c r="M31" s="19">
        <f t="shared" si="0"/>
        <v>0</v>
      </c>
      <c r="N31" s="20"/>
      <c r="O31" s="20">
        <v>0</v>
      </c>
      <c r="P31" s="21">
        <f t="shared" si="1"/>
        <v>0</v>
      </c>
      <c r="Q31" s="21">
        <f t="shared" si="2"/>
        <v>0</v>
      </c>
      <c r="R31" s="22" t="e">
        <f t="shared" si="3"/>
        <v>#DIV/0!</v>
      </c>
      <c r="S31" s="23"/>
      <c r="T31" s="23"/>
      <c r="U31" s="181"/>
      <c r="V31" s="182"/>
      <c r="W31" s="182"/>
      <c r="X31" s="182"/>
      <c r="Y31" s="182"/>
      <c r="Z31" s="182"/>
      <c r="AA31" s="182"/>
      <c r="AB31" s="18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</row>
    <row r="32" spans="1:43" ht="16.5" x14ac:dyDescent="0.3">
      <c r="A32" s="26" t="s">
        <v>22</v>
      </c>
      <c r="B32" s="27">
        <v>161</v>
      </c>
      <c r="C32" s="27" t="s">
        <v>23</v>
      </c>
      <c r="D32" s="27" t="s">
        <v>84</v>
      </c>
      <c r="E32" s="27" t="s">
        <v>85</v>
      </c>
      <c r="F32" s="32">
        <v>4334.58</v>
      </c>
      <c r="G32" s="32">
        <v>4332.8900000000003</v>
      </c>
      <c r="H32" s="28">
        <v>5284.53</v>
      </c>
      <c r="I32" s="28">
        <v>5539.64</v>
      </c>
      <c r="J32" s="28">
        <v>6170</v>
      </c>
      <c r="K32" s="18">
        <v>6170</v>
      </c>
      <c r="L32" s="18"/>
      <c r="M32" s="19">
        <f t="shared" si="0"/>
        <v>6170</v>
      </c>
      <c r="N32" s="20"/>
      <c r="O32" s="20">
        <v>0</v>
      </c>
      <c r="P32" s="21">
        <f t="shared" si="1"/>
        <v>6170</v>
      </c>
      <c r="Q32" s="21">
        <f t="shared" si="2"/>
        <v>0</v>
      </c>
      <c r="R32" s="22">
        <f t="shared" si="3"/>
        <v>0</v>
      </c>
      <c r="S32" s="23"/>
      <c r="T32" s="23"/>
      <c r="U32" s="181"/>
      <c r="V32" s="182"/>
      <c r="W32" s="182"/>
      <c r="X32" s="182"/>
      <c r="Y32" s="182"/>
      <c r="Z32" s="182"/>
      <c r="AA32" s="182"/>
      <c r="AB32" s="18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</row>
    <row r="33" spans="1:43" ht="16.5" x14ac:dyDescent="0.3">
      <c r="A33" s="26" t="s">
        <v>22</v>
      </c>
      <c r="B33" s="27">
        <v>162</v>
      </c>
      <c r="C33" s="27" t="s">
        <v>23</v>
      </c>
      <c r="D33" s="27" t="s">
        <v>86</v>
      </c>
      <c r="E33" s="27" t="s">
        <v>87</v>
      </c>
      <c r="F33" s="28">
        <v>35500</v>
      </c>
      <c r="G33" s="28">
        <v>20942.900000000001</v>
      </c>
      <c r="H33" s="28">
        <v>48960.13</v>
      </c>
      <c r="I33" s="28">
        <v>11753.98</v>
      </c>
      <c r="J33" s="28">
        <v>13000</v>
      </c>
      <c r="K33" s="18">
        <v>15000</v>
      </c>
      <c r="L33" s="18"/>
      <c r="M33" s="19">
        <f t="shared" si="0"/>
        <v>15000</v>
      </c>
      <c r="N33" s="20"/>
      <c r="O33" s="20">
        <v>0</v>
      </c>
      <c r="P33" s="21">
        <f t="shared" si="1"/>
        <v>15000</v>
      </c>
      <c r="Q33" s="21">
        <f t="shared" si="2"/>
        <v>2000</v>
      </c>
      <c r="R33" s="22">
        <f t="shared" si="3"/>
        <v>0.15384615384615385</v>
      </c>
      <c r="S33" s="23"/>
      <c r="T33" s="23"/>
      <c r="U33" s="181"/>
      <c r="V33" s="182"/>
      <c r="W33" s="182"/>
      <c r="X33" s="182"/>
      <c r="Y33" s="182"/>
      <c r="Z33" s="182"/>
      <c r="AA33" s="182"/>
      <c r="AB33" s="18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1:43" ht="16.5" x14ac:dyDescent="0.3">
      <c r="A34" s="26" t="s">
        <v>22</v>
      </c>
      <c r="B34" s="27">
        <v>162</v>
      </c>
      <c r="C34" s="27" t="s">
        <v>26</v>
      </c>
      <c r="D34" s="27" t="s">
        <v>88</v>
      </c>
      <c r="E34" s="27" t="s">
        <v>89</v>
      </c>
      <c r="F34" s="28"/>
      <c r="G34" s="28"/>
      <c r="H34" s="28">
        <v>0</v>
      </c>
      <c r="I34" s="28">
        <v>15286.92</v>
      </c>
      <c r="J34" s="28">
        <v>32000</v>
      </c>
      <c r="K34" s="18">
        <v>10000</v>
      </c>
      <c r="L34" s="18"/>
      <c r="M34" s="19">
        <f t="shared" si="0"/>
        <v>10000</v>
      </c>
      <c r="N34" s="20"/>
      <c r="O34" s="20"/>
      <c r="P34" s="21">
        <f t="shared" si="1"/>
        <v>10000</v>
      </c>
      <c r="Q34" s="21">
        <f t="shared" si="2"/>
        <v>-22000</v>
      </c>
      <c r="R34" s="22">
        <f t="shared" si="3"/>
        <v>-0.6875</v>
      </c>
      <c r="S34" s="23"/>
      <c r="T34" s="23"/>
      <c r="U34" s="41"/>
      <c r="V34" s="42"/>
      <c r="W34" s="42"/>
      <c r="X34" s="42"/>
      <c r="Y34" s="42"/>
      <c r="Z34" s="42"/>
      <c r="AA34" s="42"/>
      <c r="AB34" s="4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6.5" x14ac:dyDescent="0.3">
      <c r="A35" s="26" t="s">
        <v>22</v>
      </c>
      <c r="B35" s="27">
        <v>163</v>
      </c>
      <c r="C35" s="27" t="s">
        <v>23</v>
      </c>
      <c r="D35" s="27" t="s">
        <v>90</v>
      </c>
      <c r="E35" s="27" t="s">
        <v>91</v>
      </c>
      <c r="F35" s="28">
        <v>6528.53</v>
      </c>
      <c r="G35" s="28">
        <v>6346.64</v>
      </c>
      <c r="H35" s="28">
        <v>8605.69</v>
      </c>
      <c r="I35" s="28">
        <v>4353.59</v>
      </c>
      <c r="J35" s="28">
        <v>5800</v>
      </c>
      <c r="K35" s="18">
        <v>5800</v>
      </c>
      <c r="L35" s="18"/>
      <c r="M35" s="19">
        <f t="shared" si="0"/>
        <v>5800</v>
      </c>
      <c r="N35" s="20"/>
      <c r="O35" s="20">
        <v>0</v>
      </c>
      <c r="P35" s="21">
        <f t="shared" si="1"/>
        <v>5800</v>
      </c>
      <c r="Q35" s="21">
        <f t="shared" si="2"/>
        <v>0</v>
      </c>
      <c r="R35" s="22">
        <f t="shared" si="3"/>
        <v>0</v>
      </c>
      <c r="S35" s="23"/>
      <c r="T35" s="23"/>
      <c r="U35" s="181"/>
      <c r="V35" s="182"/>
      <c r="W35" s="182"/>
      <c r="X35" s="182"/>
      <c r="Y35" s="182"/>
      <c r="Z35" s="182"/>
      <c r="AA35" s="182"/>
      <c r="AB35" s="18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</row>
    <row r="36" spans="1:43" ht="16.5" x14ac:dyDescent="0.3">
      <c r="A36" s="26" t="s">
        <v>22</v>
      </c>
      <c r="B36" s="27">
        <v>163</v>
      </c>
      <c r="C36" s="27" t="s">
        <v>26</v>
      </c>
      <c r="D36" s="27" t="s">
        <v>92</v>
      </c>
      <c r="E36" s="27" t="s">
        <v>93</v>
      </c>
      <c r="F36" s="28"/>
      <c r="G36" s="28"/>
      <c r="H36" s="28">
        <v>0</v>
      </c>
      <c r="I36" s="28">
        <v>1400</v>
      </c>
      <c r="J36" s="28">
        <v>1400</v>
      </c>
      <c r="K36" s="18">
        <v>1400</v>
      </c>
      <c r="L36" s="18"/>
      <c r="M36" s="19">
        <f t="shared" si="0"/>
        <v>1400</v>
      </c>
      <c r="N36" s="20"/>
      <c r="O36" s="20"/>
      <c r="P36" s="21">
        <f t="shared" si="1"/>
        <v>1400</v>
      </c>
      <c r="Q36" s="21">
        <f t="shared" si="2"/>
        <v>0</v>
      </c>
      <c r="R36" s="22">
        <f t="shared" si="3"/>
        <v>0</v>
      </c>
      <c r="S36" s="23"/>
      <c r="T36" s="23"/>
      <c r="U36" s="41"/>
      <c r="V36" s="42"/>
      <c r="W36" s="42"/>
      <c r="X36" s="42"/>
      <c r="Y36" s="42"/>
      <c r="Z36" s="42"/>
      <c r="AA36" s="42"/>
      <c r="AB36" s="4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</row>
    <row r="37" spans="1:43" ht="16.5" x14ac:dyDescent="0.3">
      <c r="A37" s="26" t="s">
        <v>22</v>
      </c>
      <c r="B37" s="27">
        <v>195</v>
      </c>
      <c r="C37" s="27" t="s">
        <v>23</v>
      </c>
      <c r="D37" s="27" t="s">
        <v>94</v>
      </c>
      <c r="E37" s="27" t="s">
        <v>95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18">
        <v>0</v>
      </c>
      <c r="L37" s="18"/>
      <c r="M37" s="19">
        <f t="shared" si="0"/>
        <v>0</v>
      </c>
      <c r="N37" s="20"/>
      <c r="O37" s="20"/>
      <c r="P37" s="21">
        <f t="shared" si="1"/>
        <v>0</v>
      </c>
      <c r="Q37" s="21">
        <f t="shared" si="2"/>
        <v>0</v>
      </c>
      <c r="R37" s="22" t="e">
        <f t="shared" si="3"/>
        <v>#DIV/0!</v>
      </c>
      <c r="S37" s="23"/>
      <c r="T37" s="23"/>
      <c r="U37" s="181"/>
      <c r="V37" s="182"/>
      <c r="W37" s="182"/>
      <c r="X37" s="182"/>
      <c r="Y37" s="182"/>
      <c r="Z37" s="182"/>
      <c r="AA37" s="182"/>
      <c r="AB37" s="18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3" ht="16.5" x14ac:dyDescent="0.3">
      <c r="A38" s="26" t="s">
        <v>22</v>
      </c>
      <c r="B38" s="27">
        <v>200</v>
      </c>
      <c r="C38" s="27" t="s">
        <v>26</v>
      </c>
      <c r="D38" s="27" t="s">
        <v>96</v>
      </c>
      <c r="E38" s="27" t="s">
        <v>97</v>
      </c>
      <c r="F38" s="28">
        <v>11627.56</v>
      </c>
      <c r="G38" s="28">
        <v>8246.4500000000007</v>
      </c>
      <c r="H38" s="28">
        <v>19607.5</v>
      </c>
      <c r="I38" s="28">
        <v>17313.48</v>
      </c>
      <c r="J38" s="28">
        <v>22043</v>
      </c>
      <c r="K38" s="18">
        <v>22484.63</v>
      </c>
      <c r="L38" s="18">
        <v>-0.63</v>
      </c>
      <c r="M38" s="19">
        <f t="shared" si="0"/>
        <v>22484</v>
      </c>
      <c r="N38" s="20"/>
      <c r="O38" s="20"/>
      <c r="P38" s="21">
        <f t="shared" si="1"/>
        <v>22484</v>
      </c>
      <c r="Q38" s="21">
        <f t="shared" si="2"/>
        <v>441</v>
      </c>
      <c r="R38" s="22">
        <f t="shared" si="3"/>
        <v>2.0006351222610352E-2</v>
      </c>
      <c r="S38" s="23"/>
      <c r="T38" s="23"/>
      <c r="U38" s="181"/>
      <c r="V38" s="182"/>
      <c r="W38" s="182"/>
      <c r="X38" s="182"/>
      <c r="Y38" s="182"/>
      <c r="Z38" s="182"/>
      <c r="AA38" s="182"/>
      <c r="AB38" s="18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43" ht="16.5" x14ac:dyDescent="0.3">
      <c r="A39" s="26" t="s">
        <v>22</v>
      </c>
      <c r="B39" s="27">
        <v>200</v>
      </c>
      <c r="C39" s="27" t="s">
        <v>23</v>
      </c>
      <c r="D39" s="27" t="s">
        <v>98</v>
      </c>
      <c r="E39" s="27" t="s">
        <v>99</v>
      </c>
      <c r="F39" s="28">
        <v>106501.29</v>
      </c>
      <c r="G39" s="28">
        <v>103103.19</v>
      </c>
      <c r="H39" s="28">
        <v>61938.77</v>
      </c>
      <c r="I39" s="28">
        <v>63717.14</v>
      </c>
      <c r="J39" s="28">
        <v>76220</v>
      </c>
      <c r="K39" s="18">
        <v>76220</v>
      </c>
      <c r="L39" s="18"/>
      <c r="M39" s="19">
        <f t="shared" si="0"/>
        <v>76220</v>
      </c>
      <c r="N39" s="20"/>
      <c r="O39" s="20"/>
      <c r="P39" s="21">
        <f t="shared" si="1"/>
        <v>76220</v>
      </c>
      <c r="Q39" s="21">
        <f t="shared" si="2"/>
        <v>0</v>
      </c>
      <c r="R39" s="22">
        <f t="shared" si="3"/>
        <v>0</v>
      </c>
      <c r="S39" s="23"/>
      <c r="T39" s="23"/>
      <c r="U39" s="181"/>
      <c r="V39" s="182"/>
      <c r="W39" s="182"/>
      <c r="X39" s="182"/>
      <c r="Y39" s="182"/>
      <c r="Z39" s="182"/>
      <c r="AA39" s="182"/>
      <c r="AB39" s="18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</row>
    <row r="40" spans="1:43" ht="16.5" x14ac:dyDescent="0.3">
      <c r="A40" s="26" t="s">
        <v>22</v>
      </c>
      <c r="B40" s="27">
        <v>200</v>
      </c>
      <c r="C40" s="27" t="s">
        <v>23</v>
      </c>
      <c r="D40" s="27" t="s">
        <v>100</v>
      </c>
      <c r="E40" s="27" t="s">
        <v>101</v>
      </c>
      <c r="F40" s="28"/>
      <c r="G40" s="28">
        <f>2447.66+10920</f>
        <v>13367.66</v>
      </c>
      <c r="H40" s="28">
        <v>84100.55</v>
      </c>
      <c r="I40" s="28">
        <v>59955.63</v>
      </c>
      <c r="J40" s="28">
        <v>112203</v>
      </c>
      <c r="K40" s="18">
        <v>112203</v>
      </c>
      <c r="L40" s="18"/>
      <c r="M40" s="19">
        <f t="shared" si="0"/>
        <v>112203</v>
      </c>
      <c r="N40" s="20"/>
      <c r="O40" s="20"/>
      <c r="P40" s="21">
        <f t="shared" si="1"/>
        <v>112203</v>
      </c>
      <c r="Q40" s="21">
        <f t="shared" si="2"/>
        <v>0</v>
      </c>
      <c r="R40" s="22">
        <f t="shared" si="3"/>
        <v>0</v>
      </c>
      <c r="S40" s="23"/>
      <c r="T40" s="23"/>
      <c r="U40" s="181"/>
      <c r="V40" s="182"/>
      <c r="W40" s="182"/>
      <c r="X40" s="182"/>
      <c r="Y40" s="182"/>
      <c r="Z40" s="182"/>
      <c r="AA40" s="182"/>
      <c r="AB40" s="18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1:43" ht="16.5" x14ac:dyDescent="0.3">
      <c r="A41" s="26" t="s">
        <v>22</v>
      </c>
      <c r="B41" s="27">
        <v>210</v>
      </c>
      <c r="C41" s="27" t="s">
        <v>26</v>
      </c>
      <c r="D41" s="27" t="s">
        <v>102</v>
      </c>
      <c r="E41" s="27" t="s">
        <v>103</v>
      </c>
      <c r="F41" s="28">
        <v>131614.88</v>
      </c>
      <c r="G41" s="28">
        <v>134237.18</v>
      </c>
      <c r="H41" s="28">
        <v>150500</v>
      </c>
      <c r="I41" s="28">
        <v>155500.04</v>
      </c>
      <c r="J41" s="28">
        <v>158600</v>
      </c>
      <c r="K41" s="18">
        <v>159208</v>
      </c>
      <c r="L41" s="18"/>
      <c r="M41" s="19">
        <f t="shared" si="0"/>
        <v>159208</v>
      </c>
      <c r="N41" s="20"/>
      <c r="O41" s="20"/>
      <c r="P41" s="21">
        <f t="shared" si="1"/>
        <v>159208</v>
      </c>
      <c r="Q41" s="21">
        <f t="shared" si="2"/>
        <v>608</v>
      </c>
      <c r="R41" s="22">
        <f t="shared" si="3"/>
        <v>3.8335435056746532E-3</v>
      </c>
      <c r="S41" s="23"/>
      <c r="T41" s="23"/>
      <c r="U41" s="181"/>
      <c r="V41" s="182"/>
      <c r="W41" s="182"/>
      <c r="X41" s="182"/>
      <c r="Y41" s="182"/>
      <c r="Z41" s="182"/>
      <c r="AA41" s="182"/>
      <c r="AB41" s="18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1:43" ht="16.5" x14ac:dyDescent="0.3">
      <c r="A42" s="26" t="s">
        <v>22</v>
      </c>
      <c r="B42" s="27">
        <v>210</v>
      </c>
      <c r="C42" s="27" t="s">
        <v>26</v>
      </c>
      <c r="D42" s="27" t="s">
        <v>104</v>
      </c>
      <c r="E42" s="27" t="s">
        <v>105</v>
      </c>
      <c r="F42" s="28">
        <v>0</v>
      </c>
      <c r="G42" s="28">
        <v>0</v>
      </c>
      <c r="H42" s="28">
        <v>24032.35</v>
      </c>
      <c r="I42" s="28">
        <v>143219.96</v>
      </c>
      <c r="J42" s="28">
        <v>147517</v>
      </c>
      <c r="K42" s="18">
        <v>150466.68</v>
      </c>
      <c r="L42" s="18">
        <v>-0.68</v>
      </c>
      <c r="M42" s="19">
        <f t="shared" si="0"/>
        <v>150466</v>
      </c>
      <c r="N42" s="20"/>
      <c r="O42" s="20"/>
      <c r="P42" s="21">
        <f t="shared" si="1"/>
        <v>150466</v>
      </c>
      <c r="Q42" s="21">
        <f t="shared" si="2"/>
        <v>2949</v>
      </c>
      <c r="R42" s="22">
        <f t="shared" si="3"/>
        <v>1.9990916301172067E-2</v>
      </c>
      <c r="S42" s="23"/>
      <c r="T42" s="23"/>
      <c r="U42" s="41"/>
      <c r="V42" s="42"/>
      <c r="W42" s="42"/>
      <c r="X42" s="42"/>
      <c r="Y42" s="42"/>
      <c r="Z42" s="42"/>
      <c r="AA42" s="42"/>
      <c r="AB42" s="4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3" ht="16.5" x14ac:dyDescent="0.3">
      <c r="A43" s="26" t="s">
        <v>22</v>
      </c>
      <c r="B43" s="27">
        <v>210</v>
      </c>
      <c r="C43" s="27" t="s">
        <v>26</v>
      </c>
      <c r="D43" s="27" t="s">
        <v>106</v>
      </c>
      <c r="E43" s="27" t="s">
        <v>474</v>
      </c>
      <c r="F43" s="28">
        <v>461496.56</v>
      </c>
      <c r="G43" s="28">
        <v>583201.75</v>
      </c>
      <c r="H43" s="28">
        <v>672561.23</v>
      </c>
      <c r="I43" s="28">
        <v>629188.99</v>
      </c>
      <c r="J43" s="28">
        <v>671104</v>
      </c>
      <c r="K43" s="18">
        <v>673365.39</v>
      </c>
      <c r="L43" s="18">
        <v>-0.39</v>
      </c>
      <c r="M43" s="19">
        <f t="shared" si="0"/>
        <v>673365</v>
      </c>
      <c r="N43" s="20"/>
      <c r="O43" s="20"/>
      <c r="P43" s="21">
        <f t="shared" si="1"/>
        <v>673365</v>
      </c>
      <c r="Q43" s="21">
        <f t="shared" si="2"/>
        <v>2261</v>
      </c>
      <c r="R43" s="22">
        <f t="shared" si="3"/>
        <v>3.3690754339118826E-3</v>
      </c>
      <c r="S43" s="23"/>
      <c r="T43" s="23"/>
      <c r="U43" s="181"/>
      <c r="V43" s="182"/>
      <c r="W43" s="182"/>
      <c r="X43" s="182"/>
      <c r="Y43" s="182"/>
      <c r="Z43" s="182"/>
      <c r="AA43" s="182"/>
      <c r="AB43" s="18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1:43" ht="16.5" x14ac:dyDescent="0.3">
      <c r="A44" s="26" t="s">
        <v>22</v>
      </c>
      <c r="B44" s="27">
        <v>210</v>
      </c>
      <c r="C44" s="27" t="s">
        <v>26</v>
      </c>
      <c r="D44" s="27" t="s">
        <v>107</v>
      </c>
      <c r="E44" s="27" t="s">
        <v>108</v>
      </c>
      <c r="F44" s="28">
        <v>1197125.6399999999</v>
      </c>
      <c r="G44" s="28">
        <v>1183362.97</v>
      </c>
      <c r="H44" s="28">
        <v>1222821.96</v>
      </c>
      <c r="I44" s="28">
        <v>1200825.8700000001</v>
      </c>
      <c r="J44" s="28">
        <f>1311225+103000</f>
        <v>1414225</v>
      </c>
      <c r="K44" s="18">
        <v>1556034.27</v>
      </c>
      <c r="L44" s="18">
        <v>-0.27</v>
      </c>
      <c r="M44" s="19">
        <f t="shared" si="0"/>
        <v>1556034</v>
      </c>
      <c r="N44" s="20"/>
      <c r="O44" s="20"/>
      <c r="P44" s="21">
        <f t="shared" si="1"/>
        <v>1556034</v>
      </c>
      <c r="Q44" s="21">
        <f t="shared" si="2"/>
        <v>141809</v>
      </c>
      <c r="R44" s="22">
        <f t="shared" si="3"/>
        <v>0.10027329456062507</v>
      </c>
      <c r="S44" s="23"/>
      <c r="T44" s="23"/>
      <c r="U44" s="181"/>
      <c r="V44" s="182"/>
      <c r="W44" s="182"/>
      <c r="X44" s="182"/>
      <c r="Y44" s="182"/>
      <c r="Z44" s="182"/>
      <c r="AA44" s="182"/>
      <c r="AB44" s="18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43" ht="16.5" x14ac:dyDescent="0.3">
      <c r="A45" s="26" t="s">
        <v>22</v>
      </c>
      <c r="B45" s="27">
        <v>210</v>
      </c>
      <c r="C45" s="27" t="s">
        <v>26</v>
      </c>
      <c r="D45" s="27" t="s">
        <v>109</v>
      </c>
      <c r="E45" s="27" t="s">
        <v>110</v>
      </c>
      <c r="F45" s="28">
        <v>16248.38</v>
      </c>
      <c r="G45" s="28">
        <v>11006.94</v>
      </c>
      <c r="H45" s="28">
        <v>11006.94</v>
      </c>
      <c r="I45" s="28">
        <v>15958.32</v>
      </c>
      <c r="J45" s="28">
        <v>15958</v>
      </c>
      <c r="K45" s="18">
        <v>15958.32</v>
      </c>
      <c r="L45" s="18">
        <v>-0.32</v>
      </c>
      <c r="M45" s="19">
        <f t="shared" si="0"/>
        <v>15958</v>
      </c>
      <c r="N45" s="20"/>
      <c r="O45" s="20"/>
      <c r="P45" s="21">
        <f t="shared" si="1"/>
        <v>15958</v>
      </c>
      <c r="Q45" s="21">
        <f t="shared" si="2"/>
        <v>0</v>
      </c>
      <c r="R45" s="22">
        <f t="shared" si="3"/>
        <v>0</v>
      </c>
      <c r="S45" s="23"/>
      <c r="T45" s="23"/>
      <c r="U45" s="181"/>
      <c r="V45" s="182"/>
      <c r="W45" s="182"/>
      <c r="X45" s="182"/>
      <c r="Y45" s="182"/>
      <c r="Z45" s="182"/>
      <c r="AA45" s="182"/>
      <c r="AB45" s="18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43" ht="16.5" x14ac:dyDescent="0.3">
      <c r="A46" s="26" t="s">
        <v>22</v>
      </c>
      <c r="B46" s="27">
        <v>210</v>
      </c>
      <c r="C46" s="27" t="s">
        <v>26</v>
      </c>
      <c r="D46" s="27" t="s">
        <v>111</v>
      </c>
      <c r="E46" s="27" t="s">
        <v>112</v>
      </c>
      <c r="F46" s="28">
        <v>47299.91</v>
      </c>
      <c r="G46" s="28">
        <v>51595.199999999997</v>
      </c>
      <c r="H46" s="28">
        <v>51660.2</v>
      </c>
      <c r="I46" s="28">
        <v>54033.15</v>
      </c>
      <c r="J46" s="28">
        <f>54869+2411.64</f>
        <v>57280.639999999999</v>
      </c>
      <c r="K46" s="18">
        <v>58409.26</v>
      </c>
      <c r="L46" s="18">
        <v>-0.26</v>
      </c>
      <c r="M46" s="19">
        <f t="shared" si="0"/>
        <v>58409</v>
      </c>
      <c r="N46" s="20"/>
      <c r="O46" s="20"/>
      <c r="P46" s="21">
        <f t="shared" si="1"/>
        <v>58409</v>
      </c>
      <c r="Q46" s="21">
        <f t="shared" si="2"/>
        <v>1128.3600000000006</v>
      </c>
      <c r="R46" s="22">
        <f t="shared" si="3"/>
        <v>1.9698802248019585E-2</v>
      </c>
      <c r="S46" s="23"/>
      <c r="T46" s="23"/>
      <c r="U46" s="181"/>
      <c r="V46" s="182"/>
      <c r="W46" s="182"/>
      <c r="X46" s="182"/>
      <c r="Y46" s="182"/>
      <c r="Z46" s="182"/>
      <c r="AA46" s="182"/>
      <c r="AB46" s="18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43" ht="16.5" x14ac:dyDescent="0.3">
      <c r="A47" s="26" t="s">
        <v>22</v>
      </c>
      <c r="B47" s="27">
        <v>210</v>
      </c>
      <c r="C47" s="27" t="s">
        <v>26</v>
      </c>
      <c r="D47" s="27" t="s">
        <v>113</v>
      </c>
      <c r="E47" s="27" t="s">
        <v>114</v>
      </c>
      <c r="F47" s="28">
        <v>312739.96000000002</v>
      </c>
      <c r="G47" s="28">
        <v>329462.52</v>
      </c>
      <c r="H47" s="28">
        <v>403974.81</v>
      </c>
      <c r="I47" s="28">
        <v>387601.14</v>
      </c>
      <c r="J47" s="28">
        <v>300000</v>
      </c>
      <c r="K47" s="18">
        <v>310000</v>
      </c>
      <c r="L47" s="18"/>
      <c r="M47" s="19">
        <f t="shared" si="0"/>
        <v>310000</v>
      </c>
      <c r="N47" s="20"/>
      <c r="O47" s="20"/>
      <c r="P47" s="21">
        <f t="shared" si="1"/>
        <v>310000</v>
      </c>
      <c r="Q47" s="21">
        <f t="shared" si="2"/>
        <v>10000</v>
      </c>
      <c r="R47" s="22">
        <f t="shared" si="3"/>
        <v>3.3333333333333333E-2</v>
      </c>
      <c r="S47" s="23"/>
      <c r="T47" s="23"/>
      <c r="U47" s="181"/>
      <c r="V47" s="182"/>
      <c r="W47" s="182"/>
      <c r="X47" s="182"/>
      <c r="Y47" s="182"/>
      <c r="Z47" s="182"/>
      <c r="AA47" s="182"/>
      <c r="AB47" s="18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1:43" ht="16.5" x14ac:dyDescent="0.3">
      <c r="A48" s="26" t="s">
        <v>22</v>
      </c>
      <c r="B48" s="27">
        <v>210</v>
      </c>
      <c r="C48" s="27" t="s">
        <v>23</v>
      </c>
      <c r="D48" s="27" t="s">
        <v>115</v>
      </c>
      <c r="E48" s="27" t="s">
        <v>116</v>
      </c>
      <c r="F48" s="28">
        <v>82256.03</v>
      </c>
      <c r="G48" s="28">
        <v>76007.25</v>
      </c>
      <c r="H48" s="28">
        <v>90055.13</v>
      </c>
      <c r="I48" s="28">
        <v>76337.66</v>
      </c>
      <c r="J48" s="28">
        <v>88000</v>
      </c>
      <c r="K48" s="18">
        <v>90000</v>
      </c>
      <c r="L48" s="18"/>
      <c r="M48" s="19">
        <f t="shared" si="0"/>
        <v>90000</v>
      </c>
      <c r="N48" s="20"/>
      <c r="O48" s="20"/>
      <c r="P48" s="21">
        <f t="shared" si="1"/>
        <v>90000</v>
      </c>
      <c r="Q48" s="21">
        <f t="shared" si="2"/>
        <v>2000</v>
      </c>
      <c r="R48" s="22">
        <f t="shared" si="3"/>
        <v>2.2727272727272728E-2</v>
      </c>
      <c r="S48" s="23"/>
      <c r="T48" s="23"/>
      <c r="U48" s="181"/>
      <c r="V48" s="182"/>
      <c r="W48" s="182"/>
      <c r="X48" s="182"/>
      <c r="Y48" s="182"/>
      <c r="Z48" s="182"/>
      <c r="AA48" s="182"/>
      <c r="AB48" s="18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1:43" ht="16.5" x14ac:dyDescent="0.3">
      <c r="A49" s="26" t="s">
        <v>22</v>
      </c>
      <c r="B49" s="27">
        <v>210</v>
      </c>
      <c r="C49" s="27" t="s">
        <v>23</v>
      </c>
      <c r="D49" s="27" t="s">
        <v>117</v>
      </c>
      <c r="E49" s="27" t="s">
        <v>118</v>
      </c>
      <c r="F49" s="28">
        <v>9585.26</v>
      </c>
      <c r="G49" s="28">
        <v>9008.2199999999993</v>
      </c>
      <c r="H49" s="28">
        <v>3635.73</v>
      </c>
      <c r="I49" s="28">
        <v>0</v>
      </c>
      <c r="J49" s="28">
        <v>0</v>
      </c>
      <c r="K49" s="18">
        <v>0</v>
      </c>
      <c r="L49" s="18"/>
      <c r="M49" s="19">
        <f t="shared" si="0"/>
        <v>0</v>
      </c>
      <c r="N49" s="20"/>
      <c r="O49" s="20"/>
      <c r="P49" s="21">
        <f t="shared" si="1"/>
        <v>0</v>
      </c>
      <c r="Q49" s="21">
        <f t="shared" si="2"/>
        <v>0</v>
      </c>
      <c r="R49" s="22" t="e">
        <f t="shared" si="3"/>
        <v>#DIV/0!</v>
      </c>
      <c r="S49" s="23"/>
      <c r="T49" s="23"/>
      <c r="U49" s="181"/>
      <c r="V49" s="182"/>
      <c r="W49" s="182"/>
      <c r="X49" s="182"/>
      <c r="Y49" s="182"/>
      <c r="Z49" s="182"/>
      <c r="AA49" s="182"/>
      <c r="AB49" s="18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3" ht="16.5" x14ac:dyDescent="0.3">
      <c r="A50" s="26" t="s">
        <v>22</v>
      </c>
      <c r="B50" s="27">
        <v>210</v>
      </c>
      <c r="C50" s="27" t="s">
        <v>23</v>
      </c>
      <c r="D50" s="27" t="s">
        <v>119</v>
      </c>
      <c r="E50" s="27" t="s">
        <v>120</v>
      </c>
      <c r="F50" s="28">
        <v>80737.25</v>
      </c>
      <c r="G50" s="28">
        <v>77991.53</v>
      </c>
      <c r="H50" s="28">
        <v>99754.28</v>
      </c>
      <c r="I50" s="28">
        <v>114834.8</v>
      </c>
      <c r="J50" s="28">
        <v>90000</v>
      </c>
      <c r="K50" s="18">
        <v>91000</v>
      </c>
      <c r="L50" s="18"/>
      <c r="M50" s="19">
        <f t="shared" si="0"/>
        <v>91000</v>
      </c>
      <c r="N50" s="20"/>
      <c r="O50" s="20"/>
      <c r="P50" s="21">
        <f t="shared" si="1"/>
        <v>91000</v>
      </c>
      <c r="Q50" s="21">
        <f t="shared" si="2"/>
        <v>1000</v>
      </c>
      <c r="R50" s="22">
        <f t="shared" si="3"/>
        <v>1.1111111111111112E-2</v>
      </c>
      <c r="S50" s="23"/>
      <c r="T50" s="23"/>
      <c r="U50" s="181"/>
      <c r="V50" s="182"/>
      <c r="W50" s="182"/>
      <c r="X50" s="182"/>
      <c r="Y50" s="182"/>
      <c r="Z50" s="182"/>
      <c r="AA50" s="182"/>
      <c r="AB50" s="18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43" ht="16.5" x14ac:dyDescent="0.3">
      <c r="A51" s="26" t="s">
        <v>22</v>
      </c>
      <c r="B51" s="27">
        <v>210</v>
      </c>
      <c r="C51" s="27" t="s">
        <v>23</v>
      </c>
      <c r="D51" s="27" t="s">
        <v>121</v>
      </c>
      <c r="E51" s="27" t="s">
        <v>122</v>
      </c>
      <c r="F51" s="28">
        <v>0</v>
      </c>
      <c r="G51" s="28">
        <v>30686.12</v>
      </c>
      <c r="H51" s="28">
        <v>37579.550000000003</v>
      </c>
      <c r="I51" s="28">
        <v>31142.28</v>
      </c>
      <c r="J51" s="28">
        <v>32500</v>
      </c>
      <c r="K51" s="18">
        <v>33000</v>
      </c>
      <c r="L51" s="18"/>
      <c r="M51" s="19">
        <f t="shared" si="0"/>
        <v>33000</v>
      </c>
      <c r="N51" s="20"/>
      <c r="O51" s="20"/>
      <c r="P51" s="21">
        <f t="shared" si="1"/>
        <v>33000</v>
      </c>
      <c r="Q51" s="21">
        <f t="shared" si="2"/>
        <v>500</v>
      </c>
      <c r="R51" s="22">
        <f t="shared" si="3"/>
        <v>1.5384615384615385E-2</v>
      </c>
      <c r="S51" s="23"/>
      <c r="T51" s="23"/>
      <c r="U51" s="181"/>
      <c r="V51" s="182"/>
      <c r="W51" s="182"/>
      <c r="X51" s="182"/>
      <c r="Y51" s="182"/>
      <c r="Z51" s="182"/>
      <c r="AA51" s="182"/>
      <c r="AB51" s="18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1:43" ht="16.5" x14ac:dyDescent="0.3">
      <c r="A52" s="26" t="s">
        <v>22</v>
      </c>
      <c r="B52" s="27">
        <v>220</v>
      </c>
      <c r="C52" s="27" t="s">
        <v>26</v>
      </c>
      <c r="D52" s="27" t="s">
        <v>123</v>
      </c>
      <c r="E52" s="27" t="s">
        <v>124</v>
      </c>
      <c r="F52" s="32">
        <v>125999.84</v>
      </c>
      <c r="G52" s="32">
        <v>129000</v>
      </c>
      <c r="H52" s="28">
        <v>135238.24</v>
      </c>
      <c r="I52" s="28">
        <v>149494.34</v>
      </c>
      <c r="J52" s="28">
        <v>156087</v>
      </c>
      <c r="K52" s="18">
        <v>159820.22</v>
      </c>
      <c r="L52" s="18">
        <v>0.78</v>
      </c>
      <c r="M52" s="19">
        <f t="shared" si="0"/>
        <v>159821</v>
      </c>
      <c r="N52" s="20"/>
      <c r="O52" s="20"/>
      <c r="P52" s="21">
        <f t="shared" si="1"/>
        <v>159821</v>
      </c>
      <c r="Q52" s="21">
        <f t="shared" si="2"/>
        <v>3734</v>
      </c>
      <c r="R52" s="22">
        <f t="shared" si="3"/>
        <v>2.3922556010430081E-2</v>
      </c>
      <c r="S52" s="23"/>
      <c r="T52" s="23"/>
      <c r="U52" s="181"/>
      <c r="V52" s="182"/>
      <c r="W52" s="182"/>
      <c r="X52" s="182"/>
      <c r="Y52" s="182"/>
      <c r="Z52" s="182"/>
      <c r="AA52" s="182"/>
      <c r="AB52" s="18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</row>
    <row r="53" spans="1:43" ht="16.5" x14ac:dyDescent="0.3">
      <c r="A53" s="26" t="s">
        <v>22</v>
      </c>
      <c r="B53" s="27">
        <v>220</v>
      </c>
      <c r="C53" s="27" t="s">
        <v>26</v>
      </c>
      <c r="D53" s="27" t="s">
        <v>125</v>
      </c>
      <c r="E53" s="27" t="s">
        <v>126</v>
      </c>
      <c r="F53" s="32">
        <v>349284.24</v>
      </c>
      <c r="G53" s="32">
        <v>354014.52</v>
      </c>
      <c r="H53" s="28">
        <v>345439.14</v>
      </c>
      <c r="I53" s="28">
        <v>370580.57</v>
      </c>
      <c r="J53" s="28">
        <v>390832</v>
      </c>
      <c r="K53" s="18">
        <v>392391.23</v>
      </c>
      <c r="L53" s="18">
        <v>0.77</v>
      </c>
      <c r="M53" s="19">
        <f t="shared" si="0"/>
        <v>392392</v>
      </c>
      <c r="N53" s="20"/>
      <c r="O53" s="20"/>
      <c r="P53" s="21">
        <f t="shared" si="1"/>
        <v>392392</v>
      </c>
      <c r="Q53" s="21">
        <f t="shared" si="2"/>
        <v>1560</v>
      </c>
      <c r="R53" s="22">
        <f t="shared" si="3"/>
        <v>3.9914848323576368E-3</v>
      </c>
      <c r="S53" s="23"/>
      <c r="T53" s="23"/>
      <c r="U53" s="181"/>
      <c r="V53" s="182"/>
      <c r="W53" s="182"/>
      <c r="X53" s="182"/>
      <c r="Y53" s="182"/>
      <c r="Z53" s="182"/>
      <c r="AA53" s="182"/>
      <c r="AB53" s="18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</row>
    <row r="54" spans="1:43" ht="16.5" x14ac:dyDescent="0.3">
      <c r="A54" s="26" t="s">
        <v>22</v>
      </c>
      <c r="B54" s="27">
        <v>220</v>
      </c>
      <c r="C54" s="27" t="s">
        <v>26</v>
      </c>
      <c r="D54" s="27" t="s">
        <v>127</v>
      </c>
      <c r="E54" s="27" t="s">
        <v>128</v>
      </c>
      <c r="F54" s="32">
        <v>35915.43</v>
      </c>
      <c r="G54" s="32">
        <v>38620.94</v>
      </c>
      <c r="H54" s="28">
        <v>37897.279999999999</v>
      </c>
      <c r="I54" s="28">
        <v>39398.720000000001</v>
      </c>
      <c r="J54" s="28">
        <f>40507+1373.85</f>
        <v>41880.85</v>
      </c>
      <c r="K54" s="18">
        <v>41878.879999999997</v>
      </c>
      <c r="L54" s="18">
        <v>0.12</v>
      </c>
      <c r="M54" s="19">
        <f t="shared" si="0"/>
        <v>41879</v>
      </c>
      <c r="N54" s="20"/>
      <c r="O54" s="20"/>
      <c r="P54" s="21">
        <f t="shared" si="1"/>
        <v>41879</v>
      </c>
      <c r="Q54" s="21">
        <f t="shared" si="2"/>
        <v>-1.8499999999985448</v>
      </c>
      <c r="R54" s="22">
        <f t="shared" si="3"/>
        <v>-4.4172933452844077E-5</v>
      </c>
      <c r="S54" s="23"/>
      <c r="T54" s="23"/>
      <c r="U54" s="181"/>
      <c r="V54" s="182"/>
      <c r="W54" s="182"/>
      <c r="X54" s="182"/>
      <c r="Y54" s="182"/>
      <c r="Z54" s="182"/>
      <c r="AA54" s="182"/>
      <c r="AB54" s="18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</row>
    <row r="55" spans="1:43" ht="16.5" x14ac:dyDescent="0.3">
      <c r="A55" s="26" t="s">
        <v>22</v>
      </c>
      <c r="B55" s="27">
        <v>220</v>
      </c>
      <c r="C55" s="27" t="s">
        <v>26</v>
      </c>
      <c r="D55" s="27" t="s">
        <v>129</v>
      </c>
      <c r="E55" s="27" t="s">
        <v>130</v>
      </c>
      <c r="F55" s="32">
        <v>1142600.78</v>
      </c>
      <c r="G55" s="32">
        <v>1180053.8799999999</v>
      </c>
      <c r="H55" s="28">
        <v>1157495.3500000001</v>
      </c>
      <c r="I55" s="28">
        <v>1177334.81</v>
      </c>
      <c r="J55" s="28">
        <v>1247562</v>
      </c>
      <c r="K55" s="18">
        <v>1242733.58</v>
      </c>
      <c r="L55" s="18">
        <v>0.42</v>
      </c>
      <c r="M55" s="19">
        <f t="shared" si="0"/>
        <v>1242734</v>
      </c>
      <c r="N55" s="20"/>
      <c r="O55" s="20"/>
      <c r="P55" s="21">
        <f t="shared" si="1"/>
        <v>1242734</v>
      </c>
      <c r="Q55" s="21">
        <f t="shared" si="2"/>
        <v>-4828</v>
      </c>
      <c r="R55" s="22">
        <f t="shared" si="3"/>
        <v>-3.8699479464748047E-3</v>
      </c>
      <c r="S55" s="23"/>
      <c r="T55" s="23"/>
      <c r="U55" s="181"/>
      <c r="V55" s="182"/>
      <c r="W55" s="182"/>
      <c r="X55" s="182"/>
      <c r="Y55" s="182"/>
      <c r="Z55" s="182"/>
      <c r="AA55" s="182"/>
      <c r="AB55" s="18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</row>
    <row r="56" spans="1:43" ht="16.5" x14ac:dyDescent="0.3">
      <c r="A56" s="26" t="s">
        <v>22</v>
      </c>
      <c r="B56" s="27">
        <v>220</v>
      </c>
      <c r="C56" s="27" t="s">
        <v>26</v>
      </c>
      <c r="D56" s="27" t="s">
        <v>131</v>
      </c>
      <c r="E56" s="27" t="s">
        <v>132</v>
      </c>
      <c r="F56" s="32">
        <v>0</v>
      </c>
      <c r="G56" s="32">
        <v>4398.1400000000003</v>
      </c>
      <c r="H56" s="28">
        <v>8110.83</v>
      </c>
      <c r="I56" s="28">
        <v>7126.49</v>
      </c>
      <c r="J56" s="28">
        <v>9368</v>
      </c>
      <c r="K56" s="18">
        <v>9596.42</v>
      </c>
      <c r="L56" s="18">
        <v>-0.42</v>
      </c>
      <c r="M56" s="19">
        <f t="shared" si="0"/>
        <v>9596</v>
      </c>
      <c r="N56" s="20"/>
      <c r="O56" s="20"/>
      <c r="P56" s="21">
        <f t="shared" si="1"/>
        <v>9596</v>
      </c>
      <c r="Q56" s="21">
        <f t="shared" si="2"/>
        <v>228</v>
      </c>
      <c r="R56" s="22">
        <f t="shared" si="3"/>
        <v>2.4338172502134929E-2</v>
      </c>
      <c r="S56" s="23"/>
      <c r="T56" s="23"/>
      <c r="U56" s="41"/>
      <c r="V56" s="42"/>
      <c r="W56" s="42"/>
      <c r="X56" s="42"/>
      <c r="Y56" s="42"/>
      <c r="Z56" s="42"/>
      <c r="AA56" s="42"/>
      <c r="AB56" s="4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</row>
    <row r="57" spans="1:43" ht="16.5" x14ac:dyDescent="0.3">
      <c r="A57" s="26" t="s">
        <v>22</v>
      </c>
      <c r="B57" s="27">
        <v>220</v>
      </c>
      <c r="C57" s="27" t="s">
        <v>26</v>
      </c>
      <c r="D57" s="27" t="s">
        <v>133</v>
      </c>
      <c r="E57" s="27" t="s">
        <v>134</v>
      </c>
      <c r="F57" s="32"/>
      <c r="G57" s="32"/>
      <c r="H57" s="28">
        <v>0</v>
      </c>
      <c r="I57" s="28">
        <v>6446.88</v>
      </c>
      <c r="J57" s="28">
        <v>13849</v>
      </c>
      <c r="K57" s="18">
        <v>13849.26</v>
      </c>
      <c r="L57" s="18">
        <v>-0.26</v>
      </c>
      <c r="M57" s="19">
        <f t="shared" si="0"/>
        <v>13849</v>
      </c>
      <c r="N57" s="20"/>
      <c r="O57" s="20"/>
      <c r="P57" s="21">
        <f t="shared" si="1"/>
        <v>13849</v>
      </c>
      <c r="Q57" s="21">
        <f t="shared" si="2"/>
        <v>0</v>
      </c>
      <c r="R57" s="22">
        <f t="shared" si="3"/>
        <v>0</v>
      </c>
      <c r="S57" s="23"/>
      <c r="T57" s="23"/>
      <c r="U57" s="41"/>
      <c r="V57" s="42"/>
      <c r="W57" s="42"/>
      <c r="X57" s="42"/>
      <c r="Y57" s="42"/>
      <c r="Z57" s="42"/>
      <c r="AA57" s="42"/>
      <c r="AB57" s="4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</row>
    <row r="58" spans="1:43" ht="16.5" x14ac:dyDescent="0.3">
      <c r="A58" s="26" t="s">
        <v>22</v>
      </c>
      <c r="B58" s="27">
        <v>220</v>
      </c>
      <c r="C58" s="27" t="s">
        <v>26</v>
      </c>
      <c r="D58" s="27" t="s">
        <v>135</v>
      </c>
      <c r="E58" s="27" t="s">
        <v>136</v>
      </c>
      <c r="F58" s="32">
        <v>420852.73</v>
      </c>
      <c r="G58" s="32">
        <v>442088.62</v>
      </c>
      <c r="H58" s="28">
        <v>500732.87</v>
      </c>
      <c r="I58" s="28">
        <v>457368.41</v>
      </c>
      <c r="J58" s="28">
        <v>442089</v>
      </c>
      <c r="K58" s="18">
        <v>506515.01</v>
      </c>
      <c r="L58" s="18">
        <v>-0.01</v>
      </c>
      <c r="M58" s="19">
        <f t="shared" si="0"/>
        <v>506515</v>
      </c>
      <c r="N58" s="30">
        <v>-46515</v>
      </c>
      <c r="O58" s="36"/>
      <c r="P58" s="21">
        <f t="shared" si="1"/>
        <v>460000</v>
      </c>
      <c r="Q58" s="21">
        <f t="shared" si="2"/>
        <v>17911</v>
      </c>
      <c r="R58" s="22">
        <f t="shared" si="3"/>
        <v>4.0514466544066915E-2</v>
      </c>
      <c r="S58" s="23"/>
      <c r="T58" s="23"/>
      <c r="U58" s="181"/>
      <c r="V58" s="182"/>
      <c r="W58" s="182"/>
      <c r="X58" s="182"/>
      <c r="Y58" s="182"/>
      <c r="Z58" s="182"/>
      <c r="AA58" s="182"/>
      <c r="AB58" s="18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</row>
    <row r="59" spans="1:43" ht="16.5" x14ac:dyDescent="0.3">
      <c r="A59" s="26" t="s">
        <v>22</v>
      </c>
      <c r="B59" s="27">
        <v>220</v>
      </c>
      <c r="C59" s="27" t="s">
        <v>26</v>
      </c>
      <c r="D59" s="27" t="s">
        <v>137</v>
      </c>
      <c r="E59" s="27" t="s">
        <v>138</v>
      </c>
      <c r="F59" s="32">
        <v>0</v>
      </c>
      <c r="G59" s="32">
        <v>0</v>
      </c>
      <c r="H59" s="28">
        <v>6080</v>
      </c>
      <c r="I59" s="28">
        <v>5585</v>
      </c>
      <c r="J59" s="28">
        <v>5975</v>
      </c>
      <c r="K59" s="18">
        <v>6365</v>
      </c>
      <c r="L59" s="18"/>
      <c r="M59" s="19">
        <f t="shared" si="0"/>
        <v>6365</v>
      </c>
      <c r="N59" s="20"/>
      <c r="O59" s="20"/>
      <c r="P59" s="21">
        <f t="shared" si="1"/>
        <v>6365</v>
      </c>
      <c r="Q59" s="21">
        <f t="shared" si="2"/>
        <v>390</v>
      </c>
      <c r="R59" s="22">
        <f t="shared" si="3"/>
        <v>6.5271966527196648E-2</v>
      </c>
      <c r="S59" s="23"/>
      <c r="T59" s="23"/>
      <c r="U59" s="181"/>
      <c r="V59" s="182"/>
      <c r="W59" s="182"/>
      <c r="X59" s="182"/>
      <c r="Y59" s="182"/>
      <c r="Z59" s="182"/>
      <c r="AA59" s="182"/>
      <c r="AB59" s="18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</row>
    <row r="60" spans="1:43" ht="16.5" x14ac:dyDescent="0.3">
      <c r="A60" s="26" t="s">
        <v>22</v>
      </c>
      <c r="B60" s="27">
        <v>220</v>
      </c>
      <c r="C60" s="27" t="s">
        <v>26</v>
      </c>
      <c r="D60" s="27" t="s">
        <v>137</v>
      </c>
      <c r="E60" s="27" t="s">
        <v>139</v>
      </c>
      <c r="F60" s="32">
        <v>0</v>
      </c>
      <c r="G60" s="32">
        <v>0</v>
      </c>
      <c r="H60" s="28">
        <f>34258+1604.02</f>
        <v>35862.019999999997</v>
      </c>
      <c r="I60" s="28">
        <v>35862.019999999997</v>
      </c>
      <c r="J60" s="28">
        <v>33710</v>
      </c>
      <c r="K60" s="18">
        <v>0</v>
      </c>
      <c r="L60" s="18"/>
      <c r="M60" s="19">
        <f t="shared" si="0"/>
        <v>0</v>
      </c>
      <c r="N60" s="20"/>
      <c r="O60" s="20"/>
      <c r="P60" s="21">
        <f t="shared" si="1"/>
        <v>0</v>
      </c>
      <c r="Q60" s="21">
        <f t="shared" si="2"/>
        <v>-33710</v>
      </c>
      <c r="R60" s="22">
        <f t="shared" si="3"/>
        <v>-1</v>
      </c>
      <c r="S60" s="23"/>
      <c r="T60" s="23"/>
      <c r="U60" s="181"/>
      <c r="V60" s="182"/>
      <c r="W60" s="182"/>
      <c r="X60" s="182"/>
      <c r="Y60" s="182"/>
      <c r="Z60" s="182"/>
      <c r="AA60" s="182"/>
      <c r="AB60" s="18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</row>
    <row r="61" spans="1:43" ht="16.5" x14ac:dyDescent="0.3">
      <c r="A61" s="26" t="s">
        <v>22</v>
      </c>
      <c r="B61" s="27">
        <v>220</v>
      </c>
      <c r="C61" s="27" t="s">
        <v>26</v>
      </c>
      <c r="D61" s="27" t="s">
        <v>140</v>
      </c>
      <c r="E61" s="27" t="s">
        <v>141</v>
      </c>
      <c r="F61" s="32">
        <v>17114.59</v>
      </c>
      <c r="G61" s="32">
        <v>16603.650000000001</v>
      </c>
      <c r="H61" s="28">
        <v>15727.34</v>
      </c>
      <c r="I61" s="28">
        <v>10301.629999999999</v>
      </c>
      <c r="J61" s="28">
        <v>13603</v>
      </c>
      <c r="K61" s="18">
        <v>13602.81</v>
      </c>
      <c r="L61" s="18">
        <v>0.19</v>
      </c>
      <c r="M61" s="19">
        <f t="shared" si="0"/>
        <v>13603</v>
      </c>
      <c r="N61" s="20"/>
      <c r="O61" s="20"/>
      <c r="P61" s="21">
        <f t="shared" si="1"/>
        <v>13603</v>
      </c>
      <c r="Q61" s="21">
        <f t="shared" si="2"/>
        <v>0</v>
      </c>
      <c r="R61" s="22">
        <f t="shared" si="3"/>
        <v>0</v>
      </c>
      <c r="S61" s="23"/>
      <c r="T61" s="23"/>
      <c r="U61" s="181"/>
      <c r="V61" s="182"/>
      <c r="W61" s="182"/>
      <c r="X61" s="182"/>
      <c r="Y61" s="182"/>
      <c r="Z61" s="182"/>
      <c r="AA61" s="182"/>
      <c r="AB61" s="18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</row>
    <row r="62" spans="1:43" ht="16.5" x14ac:dyDescent="0.3">
      <c r="A62" s="26" t="s">
        <v>22</v>
      </c>
      <c r="B62" s="27">
        <v>220</v>
      </c>
      <c r="C62" s="27" t="s">
        <v>23</v>
      </c>
      <c r="D62" s="27" t="s">
        <v>142</v>
      </c>
      <c r="E62" s="27" t="s">
        <v>143</v>
      </c>
      <c r="F62" s="32">
        <v>4950</v>
      </c>
      <c r="G62" s="32">
        <v>5500</v>
      </c>
      <c r="H62" s="28">
        <v>7596</v>
      </c>
      <c r="I62" s="28">
        <v>6852</v>
      </c>
      <c r="J62" s="28">
        <v>7004</v>
      </c>
      <c r="K62" s="18">
        <v>7103.61</v>
      </c>
      <c r="L62" s="18">
        <v>-0.61</v>
      </c>
      <c r="M62" s="19">
        <f t="shared" si="0"/>
        <v>7103</v>
      </c>
      <c r="N62" s="20"/>
      <c r="O62" s="20"/>
      <c r="P62" s="21">
        <f t="shared" si="1"/>
        <v>7103</v>
      </c>
      <c r="Q62" s="21">
        <f t="shared" si="2"/>
        <v>99</v>
      </c>
      <c r="R62" s="22">
        <f t="shared" si="3"/>
        <v>1.4134780125642491E-2</v>
      </c>
      <c r="S62" s="23"/>
      <c r="T62" s="23"/>
      <c r="U62" s="181"/>
      <c r="V62" s="182"/>
      <c r="W62" s="182"/>
      <c r="X62" s="182"/>
      <c r="Y62" s="182"/>
      <c r="Z62" s="182"/>
      <c r="AA62" s="182"/>
      <c r="AB62" s="18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pans="1:43" ht="16.5" x14ac:dyDescent="0.3">
      <c r="A63" s="26" t="s">
        <v>22</v>
      </c>
      <c r="B63" s="27">
        <v>220</v>
      </c>
      <c r="C63" s="27" t="s">
        <v>23</v>
      </c>
      <c r="D63" s="27" t="s">
        <v>144</v>
      </c>
      <c r="E63" s="27" t="s">
        <v>145</v>
      </c>
      <c r="F63" s="32">
        <v>68040.72</v>
      </c>
      <c r="G63" s="32">
        <v>60006.080000000002</v>
      </c>
      <c r="H63" s="28">
        <v>63952.13</v>
      </c>
      <c r="I63" s="28">
        <v>50824.26</v>
      </c>
      <c r="J63" s="28">
        <v>75771</v>
      </c>
      <c r="K63" s="18">
        <v>77286.42</v>
      </c>
      <c r="L63" s="18">
        <v>-0.42</v>
      </c>
      <c r="M63" s="19">
        <f t="shared" si="0"/>
        <v>77286</v>
      </c>
      <c r="N63" s="20"/>
      <c r="O63" s="20"/>
      <c r="P63" s="21">
        <f t="shared" si="1"/>
        <v>77286</v>
      </c>
      <c r="Q63" s="21">
        <f t="shared" si="2"/>
        <v>1515</v>
      </c>
      <c r="R63" s="22">
        <f t="shared" si="3"/>
        <v>1.9994456982222752E-2</v>
      </c>
      <c r="S63" s="23"/>
      <c r="T63" s="23"/>
      <c r="U63" s="181"/>
      <c r="V63" s="182"/>
      <c r="W63" s="182"/>
      <c r="X63" s="182"/>
      <c r="Y63" s="182"/>
      <c r="Z63" s="182"/>
      <c r="AA63" s="182"/>
      <c r="AB63" s="18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</row>
    <row r="64" spans="1:43" ht="16.5" x14ac:dyDescent="0.3">
      <c r="A64" s="26" t="s">
        <v>22</v>
      </c>
      <c r="B64" s="27">
        <v>220</v>
      </c>
      <c r="C64" s="27" t="s">
        <v>23</v>
      </c>
      <c r="D64" s="27" t="s">
        <v>146</v>
      </c>
      <c r="E64" s="27" t="s">
        <v>147</v>
      </c>
      <c r="F64" s="32">
        <v>2977.09</v>
      </c>
      <c r="G64" s="32">
        <v>1012.7</v>
      </c>
      <c r="H64" s="28">
        <v>3410.47</v>
      </c>
      <c r="I64" s="28">
        <v>1568.11</v>
      </c>
      <c r="J64" s="28">
        <v>1592</v>
      </c>
      <c r="K64" s="18">
        <v>1623.84</v>
      </c>
      <c r="L64" s="18">
        <v>-0.84</v>
      </c>
      <c r="M64" s="19">
        <f t="shared" si="0"/>
        <v>1623</v>
      </c>
      <c r="N64" s="20"/>
      <c r="O64" s="20"/>
      <c r="P64" s="21">
        <f t="shared" si="1"/>
        <v>1623</v>
      </c>
      <c r="Q64" s="21">
        <f t="shared" si="2"/>
        <v>31</v>
      </c>
      <c r="R64" s="22">
        <f t="shared" si="3"/>
        <v>1.9472361809045227E-2</v>
      </c>
      <c r="S64" s="23"/>
      <c r="T64" s="23"/>
      <c r="U64" s="181"/>
      <c r="V64" s="182"/>
      <c r="W64" s="182"/>
      <c r="X64" s="182"/>
      <c r="Y64" s="182"/>
      <c r="Z64" s="182"/>
      <c r="AA64" s="182"/>
      <c r="AB64" s="18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1:43" ht="16.5" x14ac:dyDescent="0.3">
      <c r="A65" s="26" t="s">
        <v>22</v>
      </c>
      <c r="B65" s="27">
        <v>220</v>
      </c>
      <c r="C65" s="27" t="s">
        <v>23</v>
      </c>
      <c r="D65" s="27" t="s">
        <v>148</v>
      </c>
      <c r="E65" s="27" t="s">
        <v>149</v>
      </c>
      <c r="F65" s="32">
        <v>35594.699999999997</v>
      </c>
      <c r="G65" s="32">
        <v>11523.71</v>
      </c>
      <c r="H65" s="28">
        <v>15760.54</v>
      </c>
      <c r="I65" s="28">
        <v>9869.15</v>
      </c>
      <c r="J65" s="28">
        <v>16236</v>
      </c>
      <c r="K65" s="18">
        <v>16560.72</v>
      </c>
      <c r="L65" s="18">
        <v>-0.72</v>
      </c>
      <c r="M65" s="19">
        <f t="shared" si="0"/>
        <v>16560</v>
      </c>
      <c r="N65" s="20"/>
      <c r="O65" s="20"/>
      <c r="P65" s="21">
        <f t="shared" si="1"/>
        <v>16560</v>
      </c>
      <c r="Q65" s="21">
        <f t="shared" si="2"/>
        <v>324</v>
      </c>
      <c r="R65" s="22">
        <f t="shared" si="3"/>
        <v>1.9955654101995565E-2</v>
      </c>
      <c r="S65" s="23"/>
      <c r="T65" s="23"/>
      <c r="U65" s="181"/>
      <c r="V65" s="182"/>
      <c r="W65" s="182"/>
      <c r="X65" s="182"/>
      <c r="Y65" s="182"/>
      <c r="Z65" s="182"/>
      <c r="AA65" s="182"/>
      <c r="AB65" s="18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</row>
    <row r="66" spans="1:43" ht="16.5" x14ac:dyDescent="0.3">
      <c r="A66" s="26" t="s">
        <v>22</v>
      </c>
      <c r="B66" s="27">
        <v>220</v>
      </c>
      <c r="C66" s="27" t="s">
        <v>23</v>
      </c>
      <c r="D66" s="27" t="s">
        <v>150</v>
      </c>
      <c r="E66" s="27" t="s">
        <v>151</v>
      </c>
      <c r="F66" s="32">
        <v>0</v>
      </c>
      <c r="G66" s="32">
        <v>8114.27</v>
      </c>
      <c r="H66" s="28">
        <v>7692.35</v>
      </c>
      <c r="I66" s="28">
        <v>9056.93</v>
      </c>
      <c r="J66" s="28">
        <v>8250</v>
      </c>
      <c r="K66" s="18">
        <v>8415</v>
      </c>
      <c r="L66" s="18"/>
      <c r="M66" s="19">
        <f t="shared" si="0"/>
        <v>8415</v>
      </c>
      <c r="N66" s="20"/>
      <c r="O66" s="20"/>
      <c r="P66" s="21">
        <f t="shared" si="1"/>
        <v>8415</v>
      </c>
      <c r="Q66" s="21">
        <f t="shared" si="2"/>
        <v>165</v>
      </c>
      <c r="R66" s="22">
        <f t="shared" si="3"/>
        <v>0.02</v>
      </c>
      <c r="S66" s="23"/>
      <c r="T66" s="23"/>
      <c r="U66" s="181"/>
      <c r="V66" s="182"/>
      <c r="W66" s="182"/>
      <c r="X66" s="182"/>
      <c r="Y66" s="182"/>
      <c r="Z66" s="182"/>
      <c r="AA66" s="182"/>
      <c r="AB66" s="18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</row>
    <row r="67" spans="1:43" ht="16.5" x14ac:dyDescent="0.3">
      <c r="A67" s="26" t="s">
        <v>22</v>
      </c>
      <c r="B67" s="27">
        <v>225</v>
      </c>
      <c r="C67" s="27" t="s">
        <v>26</v>
      </c>
      <c r="D67" s="27" t="s">
        <v>152</v>
      </c>
      <c r="E67" s="27" t="s">
        <v>153</v>
      </c>
      <c r="F67" s="32">
        <v>112000</v>
      </c>
      <c r="G67" s="32">
        <v>114220</v>
      </c>
      <c r="H67" s="28">
        <v>125484</v>
      </c>
      <c r="I67" s="28">
        <v>130972.96</v>
      </c>
      <c r="J67" s="28">
        <v>133573</v>
      </c>
      <c r="K67" s="18">
        <v>139382</v>
      </c>
      <c r="L67" s="18"/>
      <c r="M67" s="19">
        <f t="shared" si="0"/>
        <v>139382</v>
      </c>
      <c r="N67" s="20"/>
      <c r="O67" s="20"/>
      <c r="P67" s="21">
        <f t="shared" si="1"/>
        <v>139382</v>
      </c>
      <c r="Q67" s="21">
        <f t="shared" si="2"/>
        <v>5809</v>
      </c>
      <c r="R67" s="22">
        <f t="shared" si="3"/>
        <v>4.3489327933040361E-2</v>
      </c>
      <c r="S67" s="23"/>
      <c r="T67" s="23"/>
      <c r="U67" s="181"/>
      <c r="V67" s="182"/>
      <c r="W67" s="182"/>
      <c r="X67" s="182"/>
      <c r="Y67" s="182"/>
      <c r="Z67" s="182"/>
      <c r="AA67" s="182"/>
      <c r="AB67" s="18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</row>
    <row r="68" spans="1:43" ht="16.5" x14ac:dyDescent="0.3">
      <c r="A68" s="26" t="s">
        <v>22</v>
      </c>
      <c r="B68" s="27">
        <v>225</v>
      </c>
      <c r="C68" s="27" t="s">
        <v>26</v>
      </c>
      <c r="D68" s="27" t="s">
        <v>154</v>
      </c>
      <c r="E68" s="27" t="s">
        <v>155</v>
      </c>
      <c r="F68" s="32"/>
      <c r="G68" s="32"/>
      <c r="H68" s="28"/>
      <c r="I68" s="28">
        <v>91799.76</v>
      </c>
      <c r="J68" s="28">
        <v>93636</v>
      </c>
      <c r="K68" s="18">
        <v>99090</v>
      </c>
      <c r="L68" s="18"/>
      <c r="M68" s="19">
        <f t="shared" si="0"/>
        <v>99090</v>
      </c>
      <c r="N68" s="20"/>
      <c r="O68" s="20"/>
      <c r="P68" s="21">
        <f t="shared" si="1"/>
        <v>99090</v>
      </c>
      <c r="Q68" s="21">
        <f t="shared" si="2"/>
        <v>5454</v>
      </c>
      <c r="R68" s="22">
        <f t="shared" si="3"/>
        <v>5.8246828143021914E-2</v>
      </c>
      <c r="S68" s="23"/>
      <c r="T68" s="23"/>
      <c r="U68" s="41"/>
      <c r="V68" s="42"/>
      <c r="W68" s="42"/>
      <c r="X68" s="42"/>
      <c r="Y68" s="42"/>
      <c r="Z68" s="42"/>
      <c r="AA68" s="42"/>
      <c r="AB68" s="4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</row>
    <row r="69" spans="1:43" ht="16.5" x14ac:dyDescent="0.3">
      <c r="A69" s="26" t="s">
        <v>22</v>
      </c>
      <c r="B69" s="27">
        <v>225</v>
      </c>
      <c r="C69" s="27" t="s">
        <v>26</v>
      </c>
      <c r="D69" s="27" t="s">
        <v>156</v>
      </c>
      <c r="E69" s="27" t="s">
        <v>157</v>
      </c>
      <c r="F69" s="32"/>
      <c r="G69" s="32"/>
      <c r="H69" s="28"/>
      <c r="I69" s="28">
        <v>3000</v>
      </c>
      <c r="J69" s="28">
        <v>78000</v>
      </c>
      <c r="K69" s="18">
        <v>79560</v>
      </c>
      <c r="L69" s="18"/>
      <c r="M69" s="19">
        <f t="shared" si="0"/>
        <v>79560</v>
      </c>
      <c r="N69" s="20"/>
      <c r="O69" s="20"/>
      <c r="P69" s="21">
        <f t="shared" si="1"/>
        <v>79560</v>
      </c>
      <c r="Q69" s="21">
        <f t="shared" si="2"/>
        <v>1560</v>
      </c>
      <c r="R69" s="22">
        <f t="shared" si="3"/>
        <v>0.02</v>
      </c>
      <c r="S69" s="23"/>
      <c r="T69" s="23"/>
      <c r="U69" s="41"/>
      <c r="V69" s="42"/>
      <c r="W69" s="42"/>
      <c r="X69" s="42"/>
      <c r="Y69" s="42"/>
      <c r="Z69" s="42"/>
      <c r="AA69" s="42"/>
      <c r="AB69" s="4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1:43" ht="16.5" x14ac:dyDescent="0.3">
      <c r="A70" s="26" t="s">
        <v>22</v>
      </c>
      <c r="B70" s="27">
        <v>225</v>
      </c>
      <c r="C70" s="27" t="s">
        <v>26</v>
      </c>
      <c r="D70" s="27" t="s">
        <v>158</v>
      </c>
      <c r="E70" s="27" t="s">
        <v>159</v>
      </c>
      <c r="F70" s="32">
        <v>356711.96</v>
      </c>
      <c r="G70" s="32">
        <v>549764.28</v>
      </c>
      <c r="H70" s="28">
        <v>558053.56999999995</v>
      </c>
      <c r="I70" s="28">
        <v>471256.24</v>
      </c>
      <c r="J70" s="28">
        <v>472351</v>
      </c>
      <c r="K70" s="18">
        <v>425772.43</v>
      </c>
      <c r="L70" s="18">
        <v>-0.43</v>
      </c>
      <c r="M70" s="19">
        <f t="shared" si="0"/>
        <v>425772</v>
      </c>
      <c r="N70" s="20"/>
      <c r="O70" s="20"/>
      <c r="P70" s="21">
        <f t="shared" si="1"/>
        <v>425772</v>
      </c>
      <c r="Q70" s="21">
        <f t="shared" si="2"/>
        <v>-46579</v>
      </c>
      <c r="R70" s="22">
        <f t="shared" si="3"/>
        <v>-9.8610990555751968E-2</v>
      </c>
      <c r="S70" s="23"/>
      <c r="T70" s="23"/>
      <c r="U70" s="181"/>
      <c r="V70" s="182"/>
      <c r="W70" s="182"/>
      <c r="X70" s="182"/>
      <c r="Y70" s="182"/>
      <c r="Z70" s="182"/>
      <c r="AA70" s="182"/>
      <c r="AB70" s="18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1:43" ht="16.5" x14ac:dyDescent="0.3">
      <c r="A71" s="26" t="s">
        <v>22</v>
      </c>
      <c r="B71" s="27">
        <v>225</v>
      </c>
      <c r="C71" s="27" t="s">
        <v>26</v>
      </c>
      <c r="D71" s="27" t="s">
        <v>160</v>
      </c>
      <c r="E71" s="27" t="s">
        <v>161</v>
      </c>
      <c r="F71" s="32">
        <v>90000</v>
      </c>
      <c r="G71" s="32">
        <v>54940.49</v>
      </c>
      <c r="H71" s="28">
        <v>154122.45000000001</v>
      </c>
      <c r="I71" s="28">
        <v>179470.26</v>
      </c>
      <c r="J71" s="28">
        <f>192430+12862</f>
        <v>205292</v>
      </c>
      <c r="K71" s="18">
        <v>199632</v>
      </c>
      <c r="L71" s="18"/>
      <c r="M71" s="19">
        <f t="shared" si="0"/>
        <v>199632</v>
      </c>
      <c r="N71" s="20"/>
      <c r="O71" s="20"/>
      <c r="P71" s="21">
        <f t="shared" si="1"/>
        <v>199632</v>
      </c>
      <c r="Q71" s="21">
        <f t="shared" si="2"/>
        <v>-5660</v>
      </c>
      <c r="R71" s="22">
        <f t="shared" si="3"/>
        <v>-2.7570484967753248E-2</v>
      </c>
      <c r="S71" s="23"/>
      <c r="T71" s="23"/>
      <c r="U71" s="181"/>
      <c r="V71" s="182"/>
      <c r="W71" s="182"/>
      <c r="X71" s="182"/>
      <c r="Y71" s="182"/>
      <c r="Z71" s="182"/>
      <c r="AA71" s="182"/>
      <c r="AB71" s="18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1:43" ht="16.5" x14ac:dyDescent="0.3">
      <c r="A72" s="26" t="s">
        <v>22</v>
      </c>
      <c r="B72" s="27">
        <v>225</v>
      </c>
      <c r="C72" s="27" t="s">
        <v>23</v>
      </c>
      <c r="D72" s="27" t="s">
        <v>162</v>
      </c>
      <c r="E72" s="27" t="s">
        <v>163</v>
      </c>
      <c r="F72" s="32">
        <v>35868.74</v>
      </c>
      <c r="G72" s="32">
        <v>43999.05</v>
      </c>
      <c r="H72" s="28">
        <v>60101.37</v>
      </c>
      <c r="I72" s="28">
        <v>67823.509999999995</v>
      </c>
      <c r="J72" s="28">
        <v>77000</v>
      </c>
      <c r="K72" s="18">
        <v>89000</v>
      </c>
      <c r="L72" s="18"/>
      <c r="M72" s="19">
        <f t="shared" si="0"/>
        <v>89000</v>
      </c>
      <c r="N72" s="20"/>
      <c r="O72" s="20"/>
      <c r="P72" s="21">
        <f t="shared" si="1"/>
        <v>89000</v>
      </c>
      <c r="Q72" s="21">
        <f t="shared" si="2"/>
        <v>12000</v>
      </c>
      <c r="R72" s="22">
        <f t="shared" si="3"/>
        <v>0.15584415584415584</v>
      </c>
      <c r="S72" s="23"/>
      <c r="T72" s="23"/>
      <c r="U72" s="181"/>
      <c r="V72" s="182"/>
      <c r="W72" s="182"/>
      <c r="X72" s="182"/>
      <c r="Y72" s="182"/>
      <c r="Z72" s="182"/>
      <c r="AA72" s="182"/>
      <c r="AB72" s="18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1:43" ht="16.5" x14ac:dyDescent="0.3">
      <c r="A73" s="26" t="s">
        <v>22</v>
      </c>
      <c r="B73" s="27">
        <v>225</v>
      </c>
      <c r="C73" s="27" t="s">
        <v>23</v>
      </c>
      <c r="D73" s="27" t="s">
        <v>164</v>
      </c>
      <c r="E73" s="27" t="s">
        <v>165</v>
      </c>
      <c r="F73" s="32">
        <v>0</v>
      </c>
      <c r="G73" s="32">
        <v>2988.08</v>
      </c>
      <c r="H73" s="28">
        <v>2801.19</v>
      </c>
      <c r="I73" s="28">
        <v>2449.19</v>
      </c>
      <c r="J73" s="28">
        <v>3000</v>
      </c>
      <c r="K73" s="18">
        <v>6000</v>
      </c>
      <c r="L73" s="18"/>
      <c r="M73" s="19">
        <f t="shared" si="0"/>
        <v>6000</v>
      </c>
      <c r="N73" s="20"/>
      <c r="O73" s="20"/>
      <c r="P73" s="21">
        <f t="shared" si="1"/>
        <v>6000</v>
      </c>
      <c r="Q73" s="21">
        <f t="shared" si="2"/>
        <v>3000</v>
      </c>
      <c r="R73" s="22">
        <f t="shared" si="3"/>
        <v>1</v>
      </c>
      <c r="S73" s="23"/>
      <c r="T73" s="23"/>
      <c r="U73" s="181"/>
      <c r="V73" s="182"/>
      <c r="W73" s="182"/>
      <c r="X73" s="182"/>
      <c r="Y73" s="182"/>
      <c r="Z73" s="182"/>
      <c r="AA73" s="182"/>
      <c r="AB73" s="18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1:43" ht="16.5" x14ac:dyDescent="0.3">
      <c r="A74" s="29"/>
      <c r="B74" s="27"/>
      <c r="C74" s="27" t="s">
        <v>23</v>
      </c>
      <c r="D74" s="44" t="s">
        <v>166</v>
      </c>
      <c r="E74" s="27" t="s">
        <v>167</v>
      </c>
      <c r="F74" s="32"/>
      <c r="G74" s="32"/>
      <c r="H74" s="28"/>
      <c r="I74" s="28"/>
      <c r="J74" s="28">
        <v>0</v>
      </c>
      <c r="K74" s="18">
        <v>25000</v>
      </c>
      <c r="L74" s="18">
        <v>15000</v>
      </c>
      <c r="M74" s="19">
        <f t="shared" si="0"/>
        <v>40000</v>
      </c>
      <c r="N74" s="20"/>
      <c r="O74" s="20"/>
      <c r="P74" s="21">
        <f t="shared" si="1"/>
        <v>40000</v>
      </c>
      <c r="Q74" s="21">
        <f t="shared" si="2"/>
        <v>40000</v>
      </c>
      <c r="R74" s="22" t="e">
        <f t="shared" si="3"/>
        <v>#DIV/0!</v>
      </c>
      <c r="S74" s="23"/>
      <c r="T74" s="23"/>
      <c r="U74" s="41"/>
      <c r="V74" s="42"/>
      <c r="W74" s="42"/>
      <c r="X74" s="42"/>
      <c r="Y74" s="42"/>
      <c r="Z74" s="42"/>
      <c r="AA74" s="42"/>
      <c r="AB74" s="4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1:43" ht="16.5" x14ac:dyDescent="0.3">
      <c r="A75" s="26" t="s">
        <v>22</v>
      </c>
      <c r="B75" s="27">
        <v>230</v>
      </c>
      <c r="C75" s="27" t="s">
        <v>26</v>
      </c>
      <c r="D75" s="27" t="s">
        <v>168</v>
      </c>
      <c r="E75" s="27" t="s">
        <v>169</v>
      </c>
      <c r="F75" s="28">
        <v>172193.85</v>
      </c>
      <c r="G75" s="28">
        <v>168458.12</v>
      </c>
      <c r="H75" s="28">
        <v>172280.27</v>
      </c>
      <c r="I75" s="28">
        <v>198909.72</v>
      </c>
      <c r="J75" s="28">
        <f>204984+528.33</f>
        <v>205512.33</v>
      </c>
      <c r="K75" s="18">
        <v>206363.15</v>
      </c>
      <c r="L75" s="18">
        <v>-0.15</v>
      </c>
      <c r="M75" s="19">
        <f t="shared" si="0"/>
        <v>206363</v>
      </c>
      <c r="N75" s="20"/>
      <c r="O75" s="20"/>
      <c r="P75" s="21">
        <f t="shared" si="1"/>
        <v>206363</v>
      </c>
      <c r="Q75" s="21">
        <f t="shared" si="2"/>
        <v>850.67000000001281</v>
      </c>
      <c r="R75" s="22">
        <f t="shared" si="3"/>
        <v>4.1392650260936312E-3</v>
      </c>
      <c r="S75" s="23"/>
      <c r="T75" s="23"/>
      <c r="U75" s="181"/>
      <c r="V75" s="182"/>
      <c r="W75" s="182"/>
      <c r="X75" s="182"/>
      <c r="Y75" s="182"/>
      <c r="Z75" s="182"/>
      <c r="AA75" s="182"/>
      <c r="AB75" s="18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1:43" ht="16.5" x14ac:dyDescent="0.3">
      <c r="A76" s="26" t="s">
        <v>22</v>
      </c>
      <c r="B76" s="27">
        <v>230</v>
      </c>
      <c r="C76" s="27" t="s">
        <v>26</v>
      </c>
      <c r="D76" s="27" t="s">
        <v>170</v>
      </c>
      <c r="E76" s="27" t="s">
        <v>171</v>
      </c>
      <c r="F76" s="28">
        <v>8849.68</v>
      </c>
      <c r="G76" s="28">
        <v>10897.94</v>
      </c>
      <c r="H76" s="28">
        <v>7995.2</v>
      </c>
      <c r="I76" s="28">
        <v>8828.67</v>
      </c>
      <c r="J76" s="28">
        <v>10898</v>
      </c>
      <c r="K76" s="18">
        <v>10897.92</v>
      </c>
      <c r="L76" s="18">
        <v>0.08</v>
      </c>
      <c r="M76" s="19">
        <f t="shared" si="0"/>
        <v>10898</v>
      </c>
      <c r="N76" s="20"/>
      <c r="O76" s="20"/>
      <c r="P76" s="21">
        <f t="shared" si="1"/>
        <v>10898</v>
      </c>
      <c r="Q76" s="21">
        <f t="shared" si="2"/>
        <v>0</v>
      </c>
      <c r="R76" s="22">
        <f t="shared" si="3"/>
        <v>0</v>
      </c>
      <c r="S76" s="23"/>
      <c r="T76" s="23"/>
      <c r="U76" s="181"/>
      <c r="V76" s="182"/>
      <c r="W76" s="182"/>
      <c r="X76" s="182"/>
      <c r="Y76" s="182"/>
      <c r="Z76" s="182"/>
      <c r="AA76" s="182"/>
      <c r="AB76" s="18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1:43" ht="16.5" x14ac:dyDescent="0.3">
      <c r="A77" s="26" t="s">
        <v>22</v>
      </c>
      <c r="B77" s="27">
        <v>230</v>
      </c>
      <c r="C77" s="27" t="s">
        <v>26</v>
      </c>
      <c r="D77" s="27" t="s">
        <v>172</v>
      </c>
      <c r="E77" s="27" t="s">
        <v>173</v>
      </c>
      <c r="F77" s="28"/>
      <c r="G77" s="28">
        <v>0</v>
      </c>
      <c r="H77" s="28">
        <v>6543.4</v>
      </c>
      <c r="I77" s="28">
        <v>12494.93</v>
      </c>
      <c r="J77" s="28">
        <v>17180</v>
      </c>
      <c r="K77" s="18">
        <v>17179.41</v>
      </c>
      <c r="L77" s="18">
        <v>-0.41</v>
      </c>
      <c r="M77" s="19">
        <f t="shared" si="0"/>
        <v>17179</v>
      </c>
      <c r="N77" s="30">
        <v>-5179</v>
      </c>
      <c r="O77" s="20"/>
      <c r="P77" s="21">
        <f t="shared" si="1"/>
        <v>12000</v>
      </c>
      <c r="Q77" s="21">
        <f t="shared" si="2"/>
        <v>-5180</v>
      </c>
      <c r="R77" s="22">
        <f t="shared" si="3"/>
        <v>-0.30151338766006985</v>
      </c>
      <c r="S77" s="23"/>
      <c r="T77" s="23"/>
      <c r="U77" s="181"/>
      <c r="V77" s="182"/>
      <c r="W77" s="182"/>
      <c r="X77" s="182"/>
      <c r="Y77" s="182"/>
      <c r="Z77" s="182"/>
      <c r="AA77" s="182"/>
      <c r="AB77" s="18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1:43" ht="16.5" x14ac:dyDescent="0.3">
      <c r="A78" s="26" t="s">
        <v>22</v>
      </c>
      <c r="B78" s="27">
        <v>230</v>
      </c>
      <c r="C78" s="27" t="s">
        <v>23</v>
      </c>
      <c r="D78" s="27" t="s">
        <v>174</v>
      </c>
      <c r="E78" s="27" t="s">
        <v>175</v>
      </c>
      <c r="F78" s="28">
        <v>63235.24</v>
      </c>
      <c r="G78" s="28">
        <v>61996.33</v>
      </c>
      <c r="H78" s="28">
        <v>97004.68</v>
      </c>
      <c r="I78" s="28">
        <v>58358.82</v>
      </c>
      <c r="J78" s="28">
        <v>68778</v>
      </c>
      <c r="K78" s="18">
        <v>70153.56</v>
      </c>
      <c r="L78" s="18">
        <v>0.44</v>
      </c>
      <c r="M78" s="19">
        <f t="shared" si="0"/>
        <v>70154</v>
      </c>
      <c r="N78" s="20"/>
      <c r="O78" s="20"/>
      <c r="P78" s="21">
        <f t="shared" si="1"/>
        <v>70154</v>
      </c>
      <c r="Q78" s="21">
        <f t="shared" si="2"/>
        <v>1376</v>
      </c>
      <c r="R78" s="22">
        <f t="shared" si="3"/>
        <v>2.000639739451569E-2</v>
      </c>
      <c r="S78" s="23"/>
      <c r="T78" s="23"/>
      <c r="U78" s="181"/>
      <c r="V78" s="182"/>
      <c r="W78" s="182"/>
      <c r="X78" s="182"/>
      <c r="Y78" s="182"/>
      <c r="Z78" s="182"/>
      <c r="AA78" s="182"/>
      <c r="AB78" s="18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1:43" ht="16.5" x14ac:dyDescent="0.3">
      <c r="A79" s="26" t="s">
        <v>22</v>
      </c>
      <c r="B79" s="27">
        <v>230</v>
      </c>
      <c r="C79" s="27" t="s">
        <v>23</v>
      </c>
      <c r="D79" s="27" t="s">
        <v>176</v>
      </c>
      <c r="E79" s="27" t="s">
        <v>177</v>
      </c>
      <c r="F79" s="28">
        <v>28539.15</v>
      </c>
      <c r="G79" s="28">
        <v>32904.160000000003</v>
      </c>
      <c r="H79" s="28">
        <v>21194.37</v>
      </c>
      <c r="I79" s="28">
        <v>25504.1</v>
      </c>
      <c r="J79" s="28">
        <v>30000</v>
      </c>
      <c r="K79" s="18">
        <v>30600</v>
      </c>
      <c r="L79" s="18"/>
      <c r="M79" s="19">
        <f t="shared" si="0"/>
        <v>30600</v>
      </c>
      <c r="N79" s="20"/>
      <c r="O79" s="20"/>
      <c r="P79" s="21">
        <f t="shared" si="1"/>
        <v>30600</v>
      </c>
      <c r="Q79" s="21">
        <f t="shared" si="2"/>
        <v>600</v>
      </c>
      <c r="R79" s="22">
        <f t="shared" si="3"/>
        <v>0.02</v>
      </c>
      <c r="S79" s="23"/>
      <c r="T79" s="23"/>
      <c r="U79" s="181"/>
      <c r="V79" s="182"/>
      <c r="W79" s="182"/>
      <c r="X79" s="182"/>
      <c r="Y79" s="182"/>
      <c r="Z79" s="182"/>
      <c r="AA79" s="182"/>
      <c r="AB79" s="18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1:43" ht="16.5" x14ac:dyDescent="0.3">
      <c r="A80" s="26" t="s">
        <v>22</v>
      </c>
      <c r="B80" s="27">
        <v>230</v>
      </c>
      <c r="C80" s="27" t="s">
        <v>23</v>
      </c>
      <c r="D80" s="27" t="s">
        <v>178</v>
      </c>
      <c r="E80" s="27" t="s">
        <v>179</v>
      </c>
      <c r="F80" s="28">
        <v>0</v>
      </c>
      <c r="G80" s="28">
        <v>4256.38</v>
      </c>
      <c r="H80" s="28">
        <v>4227.66</v>
      </c>
      <c r="I80" s="28">
        <v>5517.91</v>
      </c>
      <c r="J80" s="28">
        <v>4500</v>
      </c>
      <c r="K80" s="18">
        <v>4590</v>
      </c>
      <c r="L80" s="18"/>
      <c r="M80" s="19">
        <f t="shared" si="0"/>
        <v>4590</v>
      </c>
      <c r="N80" s="20"/>
      <c r="O80" s="20"/>
      <c r="P80" s="21">
        <f t="shared" si="1"/>
        <v>4590</v>
      </c>
      <c r="Q80" s="21">
        <f t="shared" si="2"/>
        <v>90</v>
      </c>
      <c r="R80" s="22">
        <f t="shared" si="3"/>
        <v>0.02</v>
      </c>
      <c r="S80" s="23"/>
      <c r="T80" s="23"/>
      <c r="U80" s="181"/>
      <c r="V80" s="182"/>
      <c r="W80" s="182"/>
      <c r="X80" s="182"/>
      <c r="Y80" s="182"/>
      <c r="Z80" s="182"/>
      <c r="AA80" s="182"/>
      <c r="AB80" s="18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1:43" ht="16.5" x14ac:dyDescent="0.3">
      <c r="A81" s="26" t="s">
        <v>22</v>
      </c>
      <c r="B81" s="27">
        <v>240</v>
      </c>
      <c r="C81" s="27" t="s">
        <v>26</v>
      </c>
      <c r="D81" s="27" t="s">
        <v>180</v>
      </c>
      <c r="E81" s="27" t="s">
        <v>181</v>
      </c>
      <c r="F81" s="28"/>
      <c r="G81" s="28"/>
      <c r="H81" s="28">
        <v>0</v>
      </c>
      <c r="I81" s="28">
        <v>60807.7</v>
      </c>
      <c r="J81" s="28">
        <v>91400</v>
      </c>
      <c r="K81" s="18">
        <v>93228</v>
      </c>
      <c r="L81" s="18"/>
      <c r="M81" s="19">
        <f t="shared" si="0"/>
        <v>93228</v>
      </c>
      <c r="N81" s="20"/>
      <c r="O81" s="20"/>
      <c r="P81" s="21">
        <f t="shared" si="1"/>
        <v>93228</v>
      </c>
      <c r="Q81" s="21">
        <f t="shared" si="2"/>
        <v>1828</v>
      </c>
      <c r="R81" s="22">
        <f t="shared" si="3"/>
        <v>0.02</v>
      </c>
      <c r="S81" s="23"/>
      <c r="T81" s="23"/>
      <c r="U81" s="41"/>
      <c r="V81" s="42"/>
      <c r="W81" s="42"/>
      <c r="X81" s="42"/>
      <c r="Y81" s="42"/>
      <c r="Z81" s="42"/>
      <c r="AA81" s="42"/>
      <c r="AB81" s="4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1:43" ht="16.5" x14ac:dyDescent="0.3">
      <c r="A82" s="26" t="s">
        <v>22</v>
      </c>
      <c r="B82" s="27">
        <v>240</v>
      </c>
      <c r="C82" s="27" t="s">
        <v>26</v>
      </c>
      <c r="D82" s="27" t="s">
        <v>180</v>
      </c>
      <c r="E82" s="27" t="s">
        <v>182</v>
      </c>
      <c r="F82" s="28">
        <v>14324.89</v>
      </c>
      <c r="G82" s="28">
        <f>14325+5000</f>
        <v>19325</v>
      </c>
      <c r="H82" s="28">
        <v>14783.67</v>
      </c>
      <c r="I82" s="28"/>
      <c r="J82" s="28">
        <v>0</v>
      </c>
      <c r="K82" s="18">
        <v>0</v>
      </c>
      <c r="L82" s="18"/>
      <c r="M82" s="19">
        <f t="shared" si="0"/>
        <v>0</v>
      </c>
      <c r="N82" s="20"/>
      <c r="O82" s="20"/>
      <c r="P82" s="21">
        <f t="shared" si="1"/>
        <v>0</v>
      </c>
      <c r="Q82" s="21">
        <f t="shared" si="2"/>
        <v>0</v>
      </c>
      <c r="R82" s="22" t="e">
        <f t="shared" si="3"/>
        <v>#DIV/0!</v>
      </c>
      <c r="S82" s="23"/>
      <c r="T82" s="23"/>
      <c r="U82" s="181"/>
      <c r="V82" s="182"/>
      <c r="W82" s="182"/>
      <c r="X82" s="182"/>
      <c r="Y82" s="182"/>
      <c r="Z82" s="182"/>
      <c r="AA82" s="182"/>
      <c r="AB82" s="18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1:43" ht="16.5" x14ac:dyDescent="0.3">
      <c r="A83" s="26" t="s">
        <v>22</v>
      </c>
      <c r="B83" s="27">
        <v>240</v>
      </c>
      <c r="C83" s="27" t="s">
        <v>26</v>
      </c>
      <c r="D83" s="27" t="s">
        <v>183</v>
      </c>
      <c r="E83" s="27" t="s">
        <v>184</v>
      </c>
      <c r="F83" s="28">
        <v>15055.2</v>
      </c>
      <c r="G83" s="28">
        <v>15356.46</v>
      </c>
      <c r="H83" s="28">
        <v>15663.59</v>
      </c>
      <c r="I83" s="28">
        <v>15976.92</v>
      </c>
      <c r="J83" s="28">
        <v>15977</v>
      </c>
      <c r="K83" s="18">
        <v>16296.4</v>
      </c>
      <c r="L83" s="18">
        <v>0.6</v>
      </c>
      <c r="M83" s="19">
        <f t="shared" si="0"/>
        <v>16297</v>
      </c>
      <c r="N83" s="20"/>
      <c r="O83" s="20"/>
      <c r="P83" s="21">
        <f t="shared" si="1"/>
        <v>16297</v>
      </c>
      <c r="Q83" s="21">
        <f t="shared" si="2"/>
        <v>320</v>
      </c>
      <c r="R83" s="22">
        <f t="shared" si="3"/>
        <v>2.0028791387619704E-2</v>
      </c>
      <c r="S83" s="23"/>
      <c r="T83" s="23"/>
      <c r="U83" s="181"/>
      <c r="V83" s="182"/>
      <c r="W83" s="182"/>
      <c r="X83" s="182"/>
      <c r="Y83" s="182"/>
      <c r="Z83" s="182"/>
      <c r="AA83" s="182"/>
      <c r="AB83" s="18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1:43" ht="16.5" x14ac:dyDescent="0.3">
      <c r="A84" s="26" t="s">
        <v>22</v>
      </c>
      <c r="B84" s="27">
        <v>240</v>
      </c>
      <c r="C84" s="27" t="s">
        <v>26</v>
      </c>
      <c r="D84" s="27" t="s">
        <v>185</v>
      </c>
      <c r="E84" s="27" t="s">
        <v>186</v>
      </c>
      <c r="F84" s="28">
        <v>15424.17</v>
      </c>
      <c r="G84" s="28">
        <v>16609.11</v>
      </c>
      <c r="H84" s="28">
        <v>17086.88</v>
      </c>
      <c r="I84" s="28">
        <v>17125.68</v>
      </c>
      <c r="J84" s="28">
        <v>17125</v>
      </c>
      <c r="K84" s="18">
        <v>17468.07</v>
      </c>
      <c r="L84" s="18">
        <v>0.93</v>
      </c>
      <c r="M84" s="19">
        <f t="shared" si="0"/>
        <v>17469</v>
      </c>
      <c r="N84" s="20"/>
      <c r="O84" s="20"/>
      <c r="P84" s="21">
        <f t="shared" si="1"/>
        <v>17469</v>
      </c>
      <c r="Q84" s="21">
        <f t="shared" si="2"/>
        <v>344</v>
      </c>
      <c r="R84" s="22">
        <f t="shared" si="3"/>
        <v>2.0087591240875911E-2</v>
      </c>
      <c r="S84" s="23"/>
      <c r="T84" s="23"/>
      <c r="U84" s="181"/>
      <c r="V84" s="182"/>
      <c r="W84" s="182"/>
      <c r="X84" s="182"/>
      <c r="Y84" s="182"/>
      <c r="Z84" s="182"/>
      <c r="AA84" s="182"/>
      <c r="AB84" s="18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1:43" ht="16.5" x14ac:dyDescent="0.3">
      <c r="A85" s="26" t="s">
        <v>22</v>
      </c>
      <c r="B85" s="27">
        <v>240</v>
      </c>
      <c r="C85" s="27" t="s">
        <v>26</v>
      </c>
      <c r="D85" s="27" t="s">
        <v>187</v>
      </c>
      <c r="E85" s="27" t="s">
        <v>188</v>
      </c>
      <c r="F85" s="28"/>
      <c r="G85" s="28"/>
      <c r="H85" s="28">
        <v>4469.18</v>
      </c>
      <c r="I85" s="28">
        <v>3781</v>
      </c>
      <c r="J85" s="28">
        <v>5000</v>
      </c>
      <c r="K85" s="18">
        <v>4500</v>
      </c>
      <c r="L85" s="18"/>
      <c r="M85" s="19">
        <f t="shared" si="0"/>
        <v>4500</v>
      </c>
      <c r="N85" s="20"/>
      <c r="O85" s="20"/>
      <c r="P85" s="21">
        <f t="shared" si="1"/>
        <v>4500</v>
      </c>
      <c r="Q85" s="21">
        <f t="shared" si="2"/>
        <v>-500</v>
      </c>
      <c r="R85" s="22">
        <f t="shared" si="3"/>
        <v>-0.1</v>
      </c>
      <c r="S85" s="23"/>
      <c r="T85" s="23"/>
      <c r="U85" s="41"/>
      <c r="V85" s="42"/>
      <c r="W85" s="42"/>
      <c r="X85" s="42"/>
      <c r="Y85" s="42"/>
      <c r="Z85" s="42"/>
      <c r="AA85" s="42"/>
      <c r="AB85" s="4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1:43" ht="16.5" x14ac:dyDescent="0.3">
      <c r="A86" s="26" t="s">
        <v>22</v>
      </c>
      <c r="B86" s="27">
        <v>240</v>
      </c>
      <c r="C86" s="27" t="s">
        <v>26</v>
      </c>
      <c r="D86" s="27" t="s">
        <v>189</v>
      </c>
      <c r="E86" s="27" t="s">
        <v>190</v>
      </c>
      <c r="F86" s="28"/>
      <c r="G86" s="28"/>
      <c r="H86" s="28">
        <v>0</v>
      </c>
      <c r="I86" s="28">
        <v>4440</v>
      </c>
      <c r="J86" s="28">
        <v>9000</v>
      </c>
      <c r="K86" s="18">
        <v>7000</v>
      </c>
      <c r="L86" s="18">
        <f>-K86</f>
        <v>-7000</v>
      </c>
      <c r="M86" s="19">
        <f t="shared" si="0"/>
        <v>0</v>
      </c>
      <c r="N86" s="20"/>
      <c r="O86" s="20"/>
      <c r="P86" s="21">
        <f t="shared" si="1"/>
        <v>0</v>
      </c>
      <c r="Q86" s="21">
        <f t="shared" si="2"/>
        <v>-9000</v>
      </c>
      <c r="R86" s="22">
        <f t="shared" si="3"/>
        <v>-1</v>
      </c>
      <c r="S86" s="23"/>
      <c r="T86" s="23"/>
      <c r="U86" s="41"/>
      <c r="V86" s="42"/>
      <c r="W86" s="42"/>
      <c r="X86" s="42"/>
      <c r="Y86" s="42"/>
      <c r="Z86" s="42"/>
      <c r="AA86" s="42"/>
      <c r="AB86" s="4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1:43" ht="16.5" x14ac:dyDescent="0.3">
      <c r="A87" s="26" t="s">
        <v>22</v>
      </c>
      <c r="B87" s="27">
        <v>240</v>
      </c>
      <c r="C87" s="27" t="s">
        <v>26</v>
      </c>
      <c r="D87" s="27" t="s">
        <v>191</v>
      </c>
      <c r="E87" s="27" t="s">
        <v>192</v>
      </c>
      <c r="F87" s="28">
        <v>42313.32</v>
      </c>
      <c r="G87" s="28">
        <v>42993.599999999999</v>
      </c>
      <c r="H87" s="28">
        <v>23303.19</v>
      </c>
      <c r="I87" s="28">
        <v>55232</v>
      </c>
      <c r="J87" s="28">
        <v>58464</v>
      </c>
      <c r="K87" s="18">
        <v>65772</v>
      </c>
      <c r="L87" s="18"/>
      <c r="M87" s="19">
        <f t="shared" si="0"/>
        <v>65772</v>
      </c>
      <c r="N87" s="20"/>
      <c r="O87" s="20"/>
      <c r="P87" s="21">
        <f t="shared" si="1"/>
        <v>65772</v>
      </c>
      <c r="Q87" s="21">
        <f t="shared" si="2"/>
        <v>7308</v>
      </c>
      <c r="R87" s="22">
        <f t="shared" si="3"/>
        <v>0.125</v>
      </c>
      <c r="S87" s="23"/>
      <c r="T87" s="23"/>
      <c r="U87" s="181"/>
      <c r="V87" s="182"/>
      <c r="W87" s="182"/>
      <c r="X87" s="182"/>
      <c r="Y87" s="182"/>
      <c r="Z87" s="182"/>
      <c r="AA87" s="182"/>
      <c r="AB87" s="18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88" spans="1:43" ht="16.5" x14ac:dyDescent="0.3">
      <c r="A88" s="26" t="s">
        <v>22</v>
      </c>
      <c r="B88" s="27">
        <v>240</v>
      </c>
      <c r="C88" s="27" t="s">
        <v>26</v>
      </c>
      <c r="D88" s="27" t="s">
        <v>193</v>
      </c>
      <c r="E88" s="27" t="s">
        <v>194</v>
      </c>
      <c r="F88" s="28"/>
      <c r="G88" s="28"/>
      <c r="H88" s="28"/>
      <c r="I88" s="28"/>
      <c r="J88" s="28">
        <v>1904</v>
      </c>
      <c r="K88" s="18">
        <v>3500</v>
      </c>
      <c r="L88" s="18">
        <v>0</v>
      </c>
      <c r="M88" s="19">
        <f t="shared" si="0"/>
        <v>3500</v>
      </c>
      <c r="N88" s="20"/>
      <c r="O88" s="20"/>
      <c r="P88" s="21">
        <f t="shared" si="1"/>
        <v>3500</v>
      </c>
      <c r="Q88" s="21">
        <f t="shared" si="2"/>
        <v>1596</v>
      </c>
      <c r="R88" s="22">
        <f t="shared" si="3"/>
        <v>0.83823529411764708</v>
      </c>
      <c r="S88" s="23"/>
      <c r="T88" s="23"/>
      <c r="U88" s="41"/>
      <c r="V88" s="42"/>
      <c r="W88" s="42"/>
      <c r="X88" s="42"/>
      <c r="Y88" s="42"/>
      <c r="Z88" s="42"/>
      <c r="AA88" s="42"/>
      <c r="AB88" s="4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</row>
    <row r="89" spans="1:43" ht="16.5" x14ac:dyDescent="0.3">
      <c r="A89" s="26" t="s">
        <v>22</v>
      </c>
      <c r="B89" s="27">
        <v>240</v>
      </c>
      <c r="C89" s="27" t="s">
        <v>26</v>
      </c>
      <c r="D89" s="27" t="s">
        <v>195</v>
      </c>
      <c r="E89" s="27" t="s">
        <v>196</v>
      </c>
      <c r="F89" s="28">
        <v>61798.2</v>
      </c>
      <c r="G89" s="28">
        <v>77892.58</v>
      </c>
      <c r="H89" s="28">
        <v>86758.63</v>
      </c>
      <c r="I89" s="28">
        <v>101958.18</v>
      </c>
      <c r="J89" s="28">
        <v>92745</v>
      </c>
      <c r="K89" s="18">
        <v>98639.73</v>
      </c>
      <c r="L89" s="18">
        <v>1863.81</v>
      </c>
      <c r="M89" s="19">
        <f t="shared" si="0"/>
        <v>100503.54</v>
      </c>
      <c r="N89" s="20"/>
      <c r="O89" s="20"/>
      <c r="P89" s="21">
        <f t="shared" si="1"/>
        <v>100504</v>
      </c>
      <c r="Q89" s="21">
        <f t="shared" si="2"/>
        <v>7759</v>
      </c>
      <c r="R89" s="22">
        <f t="shared" si="3"/>
        <v>8.3659496468812336E-2</v>
      </c>
      <c r="S89" s="23"/>
      <c r="T89" s="23"/>
      <c r="U89" s="181"/>
      <c r="V89" s="182"/>
      <c r="W89" s="182"/>
      <c r="X89" s="182"/>
      <c r="Y89" s="182"/>
      <c r="Z89" s="182"/>
      <c r="AA89" s="182"/>
      <c r="AB89" s="18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</row>
    <row r="90" spans="1:43" ht="16.5" x14ac:dyDescent="0.3">
      <c r="A90" s="26" t="s">
        <v>22</v>
      </c>
      <c r="B90" s="27">
        <v>240</v>
      </c>
      <c r="C90" s="27" t="s">
        <v>26</v>
      </c>
      <c r="D90" s="27" t="s">
        <v>197</v>
      </c>
      <c r="E90" s="27" t="s">
        <v>198</v>
      </c>
      <c r="F90" s="28">
        <v>0</v>
      </c>
      <c r="G90" s="28">
        <v>400</v>
      </c>
      <c r="H90" s="28">
        <v>400</v>
      </c>
      <c r="I90" s="28">
        <v>400</v>
      </c>
      <c r="J90" s="28">
        <v>400</v>
      </c>
      <c r="K90" s="18">
        <v>800</v>
      </c>
      <c r="L90" s="18">
        <v>0</v>
      </c>
      <c r="M90" s="19">
        <f t="shared" si="0"/>
        <v>800</v>
      </c>
      <c r="N90" s="20"/>
      <c r="O90" s="20"/>
      <c r="P90" s="21">
        <f t="shared" si="1"/>
        <v>800</v>
      </c>
      <c r="Q90" s="21">
        <f t="shared" si="2"/>
        <v>400</v>
      </c>
      <c r="R90" s="22">
        <f t="shared" si="3"/>
        <v>1</v>
      </c>
      <c r="S90" s="23"/>
      <c r="T90" s="23"/>
      <c r="U90" s="181"/>
      <c r="V90" s="182"/>
      <c r="W90" s="182"/>
      <c r="X90" s="182"/>
      <c r="Y90" s="182"/>
      <c r="Z90" s="182"/>
      <c r="AA90" s="182"/>
      <c r="AB90" s="18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</row>
    <row r="91" spans="1:43" ht="16.5" x14ac:dyDescent="0.3">
      <c r="A91" s="26" t="s">
        <v>22</v>
      </c>
      <c r="B91" s="27">
        <v>240</v>
      </c>
      <c r="C91" s="27" t="s">
        <v>26</v>
      </c>
      <c r="D91" s="27" t="s">
        <v>199</v>
      </c>
      <c r="E91" s="27" t="s">
        <v>200</v>
      </c>
      <c r="F91" s="28"/>
      <c r="G91" s="28"/>
      <c r="H91" s="28"/>
      <c r="I91" s="28"/>
      <c r="J91" s="28">
        <v>0</v>
      </c>
      <c r="K91" s="18">
        <v>21166</v>
      </c>
      <c r="L91" s="18">
        <v>0</v>
      </c>
      <c r="M91" s="19">
        <f t="shared" si="0"/>
        <v>21166</v>
      </c>
      <c r="N91" s="20"/>
      <c r="O91" s="20"/>
      <c r="P91" s="21">
        <f t="shared" si="1"/>
        <v>21166</v>
      </c>
      <c r="Q91" s="21">
        <f t="shared" si="2"/>
        <v>21166</v>
      </c>
      <c r="R91" s="22" t="e">
        <f t="shared" si="3"/>
        <v>#DIV/0!</v>
      </c>
      <c r="S91" s="23"/>
      <c r="T91" s="23"/>
      <c r="U91" s="41"/>
      <c r="V91" s="42"/>
      <c r="W91" s="42"/>
      <c r="X91" s="42"/>
      <c r="Y91" s="42"/>
      <c r="Z91" s="42"/>
      <c r="AA91" s="42"/>
      <c r="AB91" s="4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</row>
    <row r="92" spans="1:43" ht="16.5" x14ac:dyDescent="0.3">
      <c r="A92" s="26" t="s">
        <v>22</v>
      </c>
      <c r="B92" s="27">
        <v>240</v>
      </c>
      <c r="C92" s="27" t="s">
        <v>23</v>
      </c>
      <c r="D92" s="27" t="s">
        <v>201</v>
      </c>
      <c r="E92" s="27" t="s">
        <v>202</v>
      </c>
      <c r="F92" s="28">
        <f>8228+1515+377.16+3753.88+1255.81+3532.71+649.51+3386.66</f>
        <v>22698.73</v>
      </c>
      <c r="G92" s="28">
        <v>19172.169999999998</v>
      </c>
      <c r="H92" s="28">
        <v>26209.99</v>
      </c>
      <c r="I92" s="28">
        <v>20871.37</v>
      </c>
      <c r="J92" s="28">
        <v>43420</v>
      </c>
      <c r="K92" s="18">
        <v>43420</v>
      </c>
      <c r="L92" s="18">
        <f>-L86</f>
        <v>7000</v>
      </c>
      <c r="M92" s="19">
        <f t="shared" si="0"/>
        <v>50420</v>
      </c>
      <c r="N92" s="20"/>
      <c r="O92" s="20"/>
      <c r="P92" s="21">
        <f t="shared" si="1"/>
        <v>50420</v>
      </c>
      <c r="Q92" s="21">
        <f t="shared" si="2"/>
        <v>7000</v>
      </c>
      <c r="R92" s="22">
        <f t="shared" si="3"/>
        <v>0.16121602947950253</v>
      </c>
      <c r="S92" s="23"/>
      <c r="T92" s="23"/>
      <c r="U92" s="181"/>
      <c r="V92" s="182"/>
      <c r="W92" s="182"/>
      <c r="X92" s="182"/>
      <c r="Y92" s="182"/>
      <c r="Z92" s="182"/>
      <c r="AA92" s="182"/>
      <c r="AB92" s="18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</row>
    <row r="93" spans="1:43" ht="16.5" x14ac:dyDescent="0.3">
      <c r="A93" s="26" t="s">
        <v>22</v>
      </c>
      <c r="B93" s="27">
        <v>240</v>
      </c>
      <c r="C93" s="27" t="s">
        <v>23</v>
      </c>
      <c r="D93" s="27" t="s">
        <v>203</v>
      </c>
      <c r="E93" s="27" t="s">
        <v>204</v>
      </c>
      <c r="F93" s="28"/>
      <c r="G93" s="28">
        <v>0</v>
      </c>
      <c r="H93" s="28">
        <v>0</v>
      </c>
      <c r="I93" s="28">
        <v>13311.95</v>
      </c>
      <c r="J93" s="28">
        <v>20000</v>
      </c>
      <c r="K93" s="18">
        <v>20000</v>
      </c>
      <c r="L93" s="18"/>
      <c r="M93" s="19">
        <f t="shared" si="0"/>
        <v>20000</v>
      </c>
      <c r="N93" s="20"/>
      <c r="O93" s="20"/>
      <c r="P93" s="21">
        <f t="shared" si="1"/>
        <v>20000</v>
      </c>
      <c r="Q93" s="21">
        <f t="shared" si="2"/>
        <v>0</v>
      </c>
      <c r="R93" s="22">
        <f t="shared" si="3"/>
        <v>0</v>
      </c>
      <c r="S93" s="23"/>
      <c r="T93" s="23"/>
      <c r="U93" s="41"/>
      <c r="V93" s="42"/>
      <c r="W93" s="42"/>
      <c r="X93" s="42"/>
      <c r="Y93" s="42"/>
      <c r="Z93" s="42"/>
      <c r="AA93" s="42"/>
      <c r="AB93" s="4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</row>
    <row r="94" spans="1:43" ht="16.5" x14ac:dyDescent="0.3">
      <c r="A94" s="26" t="s">
        <v>22</v>
      </c>
      <c r="B94" s="27">
        <v>244</v>
      </c>
      <c r="C94" s="27" t="s">
        <v>26</v>
      </c>
      <c r="D94" s="27" t="s">
        <v>205</v>
      </c>
      <c r="E94" s="27" t="s">
        <v>206</v>
      </c>
      <c r="F94" s="32">
        <v>4244.83</v>
      </c>
      <c r="G94" s="32">
        <v>4329.7299999999996</v>
      </c>
      <c r="H94" s="28">
        <v>4416.32</v>
      </c>
      <c r="I94" s="28">
        <v>1355.16</v>
      </c>
      <c r="J94" s="28">
        <v>0</v>
      </c>
      <c r="K94" s="18">
        <v>0</v>
      </c>
      <c r="L94" s="18"/>
      <c r="M94" s="19">
        <f t="shared" si="0"/>
        <v>0</v>
      </c>
      <c r="N94" s="20"/>
      <c r="O94" s="20"/>
      <c r="P94" s="21">
        <f t="shared" si="1"/>
        <v>0</v>
      </c>
      <c r="Q94" s="21">
        <f t="shared" si="2"/>
        <v>0</v>
      </c>
      <c r="R94" s="22" t="e">
        <f t="shared" si="3"/>
        <v>#DIV/0!</v>
      </c>
      <c r="S94" s="23"/>
      <c r="T94" s="23"/>
      <c r="U94" s="181"/>
      <c r="V94" s="182"/>
      <c r="W94" s="182"/>
      <c r="X94" s="182"/>
      <c r="Y94" s="182"/>
      <c r="Z94" s="182"/>
      <c r="AA94" s="182"/>
      <c r="AB94" s="18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</row>
    <row r="95" spans="1:43" ht="16.5" x14ac:dyDescent="0.3">
      <c r="A95" s="26" t="s">
        <v>22</v>
      </c>
      <c r="B95" s="27">
        <v>244</v>
      </c>
      <c r="C95" s="27" t="s">
        <v>23</v>
      </c>
      <c r="D95" s="27" t="s">
        <v>207</v>
      </c>
      <c r="E95" s="27" t="s">
        <v>208</v>
      </c>
      <c r="F95" s="32">
        <v>112.02</v>
      </c>
      <c r="G95" s="32">
        <v>225.15</v>
      </c>
      <c r="H95" s="28">
        <v>60</v>
      </c>
      <c r="I95" s="28">
        <v>0</v>
      </c>
      <c r="J95" s="28">
        <v>0</v>
      </c>
      <c r="K95" s="18">
        <v>0</v>
      </c>
      <c r="L95" s="18"/>
      <c r="M95" s="19">
        <f t="shared" si="0"/>
        <v>0</v>
      </c>
      <c r="N95" s="20"/>
      <c r="O95" s="20"/>
      <c r="P95" s="21">
        <f t="shared" si="1"/>
        <v>0</v>
      </c>
      <c r="Q95" s="21">
        <f t="shared" si="2"/>
        <v>0</v>
      </c>
      <c r="R95" s="22" t="e">
        <f t="shared" si="3"/>
        <v>#DIV/0!</v>
      </c>
      <c r="S95" s="23"/>
      <c r="T95" s="23"/>
      <c r="U95" s="181"/>
      <c r="V95" s="182"/>
      <c r="W95" s="182"/>
      <c r="X95" s="182"/>
      <c r="Y95" s="182"/>
      <c r="Z95" s="182"/>
      <c r="AA95" s="182"/>
      <c r="AB95" s="18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</row>
    <row r="96" spans="1:43" ht="16.5" x14ac:dyDescent="0.3">
      <c r="A96" s="26" t="s">
        <v>22</v>
      </c>
      <c r="B96" s="27">
        <v>291</v>
      </c>
      <c r="C96" s="27" t="s">
        <v>23</v>
      </c>
      <c r="D96" s="27" t="s">
        <v>209</v>
      </c>
      <c r="E96" s="27" t="s">
        <v>210</v>
      </c>
      <c r="F96" s="32">
        <v>0</v>
      </c>
      <c r="G96" s="32">
        <v>0</v>
      </c>
      <c r="H96" s="28">
        <v>981.91</v>
      </c>
      <c r="I96" s="28">
        <v>5000</v>
      </c>
      <c r="J96" s="28">
        <v>3000</v>
      </c>
      <c r="K96" s="18">
        <v>3000</v>
      </c>
      <c r="L96" s="18">
        <v>0</v>
      </c>
      <c r="M96" s="19">
        <f t="shared" si="0"/>
        <v>3000</v>
      </c>
      <c r="N96" s="20"/>
      <c r="O96" s="20"/>
      <c r="P96" s="21">
        <f t="shared" si="1"/>
        <v>3000</v>
      </c>
      <c r="Q96" s="21">
        <f t="shared" si="2"/>
        <v>0</v>
      </c>
      <c r="R96" s="22">
        <f t="shared" si="3"/>
        <v>0</v>
      </c>
      <c r="S96" s="23"/>
      <c r="T96" s="23"/>
      <c r="U96" s="181"/>
      <c r="V96" s="182"/>
      <c r="W96" s="182"/>
      <c r="X96" s="182"/>
      <c r="Y96" s="182"/>
      <c r="Z96" s="182"/>
      <c r="AA96" s="182"/>
      <c r="AB96" s="18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</row>
    <row r="97" spans="1:43" ht="16.5" x14ac:dyDescent="0.3">
      <c r="A97" s="26" t="s">
        <v>22</v>
      </c>
      <c r="B97" s="27">
        <v>292</v>
      </c>
      <c r="C97" s="27" t="s">
        <v>26</v>
      </c>
      <c r="D97" s="27" t="s">
        <v>211</v>
      </c>
      <c r="E97" s="27" t="s">
        <v>212</v>
      </c>
      <c r="F97" s="32">
        <v>35926.86</v>
      </c>
      <c r="G97" s="32">
        <v>41000</v>
      </c>
      <c r="H97" s="28">
        <v>41643.72</v>
      </c>
      <c r="I97" s="28">
        <v>43400.38</v>
      </c>
      <c r="J97" s="28">
        <v>44094</v>
      </c>
      <c r="K97" s="18">
        <v>44113.52</v>
      </c>
      <c r="L97" s="18">
        <v>0.48</v>
      </c>
      <c r="M97" s="19">
        <f t="shared" si="0"/>
        <v>44114</v>
      </c>
      <c r="N97" s="20"/>
      <c r="O97" s="20"/>
      <c r="P97" s="21">
        <f t="shared" si="1"/>
        <v>44114</v>
      </c>
      <c r="Q97" s="21">
        <f t="shared" si="2"/>
        <v>20</v>
      </c>
      <c r="R97" s="22">
        <f t="shared" si="3"/>
        <v>4.5357645031069988E-4</v>
      </c>
      <c r="S97" s="23"/>
      <c r="T97" s="23"/>
      <c r="U97" s="181"/>
      <c r="V97" s="182"/>
      <c r="W97" s="182"/>
      <c r="X97" s="182"/>
      <c r="Y97" s="182"/>
      <c r="Z97" s="182"/>
      <c r="AA97" s="182"/>
      <c r="AB97" s="18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</row>
    <row r="98" spans="1:43" ht="16.5" x14ac:dyDescent="0.3">
      <c r="A98" s="26" t="s">
        <v>22</v>
      </c>
      <c r="B98" s="27">
        <v>292</v>
      </c>
      <c r="C98" s="27" t="s">
        <v>26</v>
      </c>
      <c r="D98" s="27" t="s">
        <v>213</v>
      </c>
      <c r="E98" s="27" t="s">
        <v>214</v>
      </c>
      <c r="F98" s="32">
        <v>0</v>
      </c>
      <c r="G98" s="32">
        <v>345</v>
      </c>
      <c r="H98" s="28">
        <v>600</v>
      </c>
      <c r="I98" s="28"/>
      <c r="J98" s="28">
        <v>0</v>
      </c>
      <c r="K98" s="18">
        <v>0</v>
      </c>
      <c r="L98" s="18"/>
      <c r="M98" s="19">
        <f t="shared" si="0"/>
        <v>0</v>
      </c>
      <c r="N98" s="20"/>
      <c r="O98" s="20"/>
      <c r="P98" s="21">
        <f t="shared" si="1"/>
        <v>0</v>
      </c>
      <c r="Q98" s="21">
        <f t="shared" si="2"/>
        <v>0</v>
      </c>
      <c r="R98" s="22" t="e">
        <f t="shared" si="3"/>
        <v>#DIV/0!</v>
      </c>
      <c r="S98" s="23"/>
      <c r="T98" s="23"/>
      <c r="U98" s="181"/>
      <c r="V98" s="182"/>
      <c r="W98" s="182"/>
      <c r="X98" s="182"/>
      <c r="Y98" s="182"/>
      <c r="Z98" s="182"/>
      <c r="AA98" s="182"/>
      <c r="AB98" s="18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</row>
    <row r="99" spans="1:43" ht="16.5" x14ac:dyDescent="0.3">
      <c r="A99" s="26" t="s">
        <v>22</v>
      </c>
      <c r="B99" s="27">
        <v>292</v>
      </c>
      <c r="C99" s="27" t="s">
        <v>23</v>
      </c>
      <c r="D99" s="27" t="s">
        <v>215</v>
      </c>
      <c r="E99" s="27" t="s">
        <v>216</v>
      </c>
      <c r="F99" s="32">
        <v>2199.12</v>
      </c>
      <c r="G99" s="32">
        <v>1745.44</v>
      </c>
      <c r="H99" s="28">
        <v>5876.2</v>
      </c>
      <c r="I99" s="28">
        <v>11985.78</v>
      </c>
      <c r="J99" s="28">
        <v>13800</v>
      </c>
      <c r="K99" s="18">
        <v>13800</v>
      </c>
      <c r="L99" s="18"/>
      <c r="M99" s="19">
        <f t="shared" si="0"/>
        <v>13800</v>
      </c>
      <c r="N99" s="20"/>
      <c r="O99" s="20"/>
      <c r="P99" s="21">
        <f t="shared" si="1"/>
        <v>13800</v>
      </c>
      <c r="Q99" s="21">
        <f t="shared" si="2"/>
        <v>0</v>
      </c>
      <c r="R99" s="22">
        <f t="shared" si="3"/>
        <v>0</v>
      </c>
      <c r="S99" s="23"/>
      <c r="T99" s="23"/>
      <c r="U99" s="181"/>
      <c r="V99" s="182"/>
      <c r="W99" s="182"/>
      <c r="X99" s="182"/>
      <c r="Y99" s="182"/>
      <c r="Z99" s="182"/>
      <c r="AA99" s="182"/>
      <c r="AB99" s="18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</row>
    <row r="100" spans="1:43" ht="16.5" x14ac:dyDescent="0.3">
      <c r="A100" s="26" t="s">
        <v>22</v>
      </c>
      <c r="B100" s="27">
        <v>292</v>
      </c>
      <c r="C100" s="27" t="s">
        <v>23</v>
      </c>
      <c r="D100" s="27" t="s">
        <v>217</v>
      </c>
      <c r="E100" s="27" t="s">
        <v>218</v>
      </c>
      <c r="F100" s="32">
        <v>0</v>
      </c>
      <c r="G100" s="32">
        <v>4228.5200000000004</v>
      </c>
      <c r="H100" s="28">
        <v>7000</v>
      </c>
      <c r="I100" s="28">
        <v>0</v>
      </c>
      <c r="J100" s="28">
        <v>0</v>
      </c>
      <c r="K100" s="18"/>
      <c r="L100" s="18"/>
      <c r="M100" s="19">
        <f t="shared" si="0"/>
        <v>0</v>
      </c>
      <c r="N100" s="20"/>
      <c r="O100" s="20"/>
      <c r="P100" s="21">
        <f t="shared" si="1"/>
        <v>0</v>
      </c>
      <c r="Q100" s="21">
        <f t="shared" si="2"/>
        <v>0</v>
      </c>
      <c r="R100" s="22" t="e">
        <f t="shared" si="3"/>
        <v>#DIV/0!</v>
      </c>
      <c r="S100" s="23"/>
      <c r="T100" s="23"/>
      <c r="U100" s="181"/>
      <c r="V100" s="182"/>
      <c r="W100" s="182"/>
      <c r="X100" s="182"/>
      <c r="Y100" s="182"/>
      <c r="Z100" s="182"/>
      <c r="AA100" s="182"/>
      <c r="AB100" s="18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</row>
    <row r="101" spans="1:43" ht="16.5" x14ac:dyDescent="0.3">
      <c r="A101" s="26" t="s">
        <v>22</v>
      </c>
      <c r="B101" s="27">
        <v>292</v>
      </c>
      <c r="C101" s="27" t="s">
        <v>23</v>
      </c>
      <c r="D101" s="27" t="s">
        <v>219</v>
      </c>
      <c r="E101" s="27" t="s">
        <v>220</v>
      </c>
      <c r="F101" s="32">
        <v>0</v>
      </c>
      <c r="G101" s="32">
        <v>286.95</v>
      </c>
      <c r="H101" s="28">
        <v>1007.79</v>
      </c>
      <c r="I101" s="28">
        <v>845.83</v>
      </c>
      <c r="J101" s="28">
        <v>1100</v>
      </c>
      <c r="K101" s="18">
        <v>1100</v>
      </c>
      <c r="L101" s="18"/>
      <c r="M101" s="19">
        <f t="shared" si="0"/>
        <v>1100</v>
      </c>
      <c r="N101" s="20"/>
      <c r="O101" s="20"/>
      <c r="P101" s="21">
        <f t="shared" si="1"/>
        <v>1100</v>
      </c>
      <c r="Q101" s="21">
        <f t="shared" si="2"/>
        <v>0</v>
      </c>
      <c r="R101" s="22">
        <f t="shared" si="3"/>
        <v>0</v>
      </c>
      <c r="S101" s="23"/>
      <c r="T101" s="23"/>
      <c r="U101" s="181"/>
      <c r="V101" s="182"/>
      <c r="W101" s="182"/>
      <c r="X101" s="182"/>
      <c r="Y101" s="182"/>
      <c r="Z101" s="182"/>
      <c r="AA101" s="182"/>
      <c r="AB101" s="18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</row>
    <row r="102" spans="1:43" ht="16.5" x14ac:dyDescent="0.3">
      <c r="A102" s="26" t="s">
        <v>22</v>
      </c>
      <c r="B102" s="27">
        <v>294</v>
      </c>
      <c r="C102" s="27" t="s">
        <v>23</v>
      </c>
      <c r="D102" s="27" t="s">
        <v>221</v>
      </c>
      <c r="E102" s="27" t="s">
        <v>222</v>
      </c>
      <c r="F102" s="32">
        <v>435.43</v>
      </c>
      <c r="G102" s="32">
        <v>796.52</v>
      </c>
      <c r="H102" s="28">
        <v>982.36</v>
      </c>
      <c r="I102" s="28">
        <v>991.48</v>
      </c>
      <c r="J102" s="28">
        <v>1000</v>
      </c>
      <c r="K102" s="18">
        <v>1000</v>
      </c>
      <c r="L102" s="18">
        <v>0</v>
      </c>
      <c r="M102" s="19">
        <f t="shared" si="0"/>
        <v>1000</v>
      </c>
      <c r="N102" s="20"/>
      <c r="O102" s="20"/>
      <c r="P102" s="21">
        <f t="shared" ref="P102:P107" si="13">+M102+N102+O102</f>
        <v>1000</v>
      </c>
      <c r="Q102" s="21">
        <f t="shared" si="2"/>
        <v>0</v>
      </c>
      <c r="R102" s="22">
        <f t="shared" si="3"/>
        <v>0</v>
      </c>
      <c r="S102" s="23"/>
      <c r="T102" s="23"/>
      <c r="U102" s="181"/>
      <c r="V102" s="182"/>
      <c r="W102" s="182"/>
      <c r="X102" s="182"/>
      <c r="Y102" s="182"/>
      <c r="Z102" s="182"/>
      <c r="AA102" s="182"/>
      <c r="AB102" s="18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</row>
    <row r="103" spans="1:43" ht="16.5" x14ac:dyDescent="0.3">
      <c r="A103" s="26" t="s">
        <v>22</v>
      </c>
      <c r="B103" s="27">
        <v>350</v>
      </c>
      <c r="C103" s="27" t="s">
        <v>23</v>
      </c>
      <c r="D103" s="27" t="s">
        <v>223</v>
      </c>
      <c r="E103" s="27" t="s">
        <v>224</v>
      </c>
      <c r="F103" s="28">
        <v>1949978.04</v>
      </c>
      <c r="G103" s="28">
        <v>1830868.8</v>
      </c>
      <c r="H103" s="28">
        <v>1814212.8</v>
      </c>
      <c r="I103" s="28">
        <v>2077555.8</v>
      </c>
      <c r="J103" s="28">
        <v>1758490</v>
      </c>
      <c r="K103" s="18">
        <f>1758490*0.03+1758490</f>
        <v>1811244.7</v>
      </c>
      <c r="L103" s="18">
        <v>0.3</v>
      </c>
      <c r="M103" s="19">
        <f t="shared" si="0"/>
        <v>1811245</v>
      </c>
      <c r="N103" s="20"/>
      <c r="O103" s="20"/>
      <c r="P103" s="21">
        <f t="shared" si="13"/>
        <v>1811245</v>
      </c>
      <c r="Q103" s="21">
        <f t="shared" si="2"/>
        <v>52755</v>
      </c>
      <c r="R103" s="22">
        <f t="shared" si="3"/>
        <v>3.0000170600913284E-2</v>
      </c>
      <c r="S103" s="23"/>
      <c r="T103" s="23"/>
      <c r="U103" s="181"/>
      <c r="V103" s="182"/>
      <c r="W103" s="182"/>
      <c r="X103" s="182"/>
      <c r="Y103" s="182"/>
      <c r="Z103" s="182"/>
      <c r="AA103" s="182"/>
      <c r="AB103" s="18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</row>
    <row r="104" spans="1:43" ht="16.5" x14ac:dyDescent="0.3">
      <c r="A104" s="26" t="s">
        <v>22</v>
      </c>
      <c r="B104" s="27">
        <v>360</v>
      </c>
      <c r="C104" s="27" t="s">
        <v>23</v>
      </c>
      <c r="D104" s="27" t="s">
        <v>225</v>
      </c>
      <c r="E104" s="27" t="s">
        <v>226</v>
      </c>
      <c r="F104" s="28">
        <v>25917.71</v>
      </c>
      <c r="G104" s="28">
        <v>21571</v>
      </c>
      <c r="H104" s="28">
        <v>7860</v>
      </c>
      <c r="I104" s="28">
        <v>4940.57</v>
      </c>
      <c r="J104" s="28">
        <v>12000</v>
      </c>
      <c r="K104" s="18">
        <v>12000</v>
      </c>
      <c r="L104" s="18"/>
      <c r="M104" s="19">
        <f t="shared" si="0"/>
        <v>12000</v>
      </c>
      <c r="N104" s="20"/>
      <c r="O104" s="20"/>
      <c r="P104" s="21">
        <f t="shared" si="13"/>
        <v>12000</v>
      </c>
      <c r="Q104" s="21">
        <f t="shared" si="2"/>
        <v>0</v>
      </c>
      <c r="R104" s="22">
        <f t="shared" si="3"/>
        <v>0</v>
      </c>
      <c r="S104" s="23"/>
      <c r="T104" s="23"/>
      <c r="U104" s="181"/>
      <c r="V104" s="182"/>
      <c r="W104" s="182"/>
      <c r="X104" s="182"/>
      <c r="Y104" s="182"/>
      <c r="Z104" s="182"/>
      <c r="AA104" s="182"/>
      <c r="AB104" s="18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</row>
    <row r="105" spans="1:43" ht="16.5" x14ac:dyDescent="0.3">
      <c r="A105" s="26" t="s">
        <v>22</v>
      </c>
      <c r="B105" s="27">
        <v>300</v>
      </c>
      <c r="C105" s="45" t="s">
        <v>227</v>
      </c>
      <c r="D105" s="27" t="s">
        <v>228</v>
      </c>
      <c r="E105" s="46" t="s">
        <v>229</v>
      </c>
      <c r="F105" s="32">
        <f>8666041.55+597949.56+472598.4+1528010.68+322218.57-33698.64+841379.67</f>
        <v>12394499.790000001</v>
      </c>
      <c r="G105" s="32">
        <f>5480548.7+5425194.65+3061105.14-1288308.41</f>
        <v>12678540.080000002</v>
      </c>
      <c r="H105" s="28">
        <f>14559469.85-H106</f>
        <v>13293960.199999999</v>
      </c>
      <c r="I105" s="28">
        <f>6141770.22+5869196.07+3225655.27+30628.1-I106</f>
        <v>13938039.659999998</v>
      </c>
      <c r="J105" s="28">
        <v>14631437</v>
      </c>
      <c r="K105" s="18">
        <v>14750830</v>
      </c>
      <c r="L105" s="18"/>
      <c r="M105" s="19">
        <f t="shared" si="0"/>
        <v>14750830</v>
      </c>
      <c r="N105" s="20"/>
      <c r="O105" s="20"/>
      <c r="P105" s="21">
        <f t="shared" si="13"/>
        <v>14750830</v>
      </c>
      <c r="Q105" s="21">
        <f t="shared" si="2"/>
        <v>119393</v>
      </c>
      <c r="R105" s="22">
        <f t="shared" si="3"/>
        <v>8.1600324014654193E-3</v>
      </c>
      <c r="S105" s="23"/>
      <c r="T105" s="23"/>
      <c r="U105" s="181"/>
      <c r="V105" s="182"/>
      <c r="W105" s="182"/>
      <c r="X105" s="182"/>
      <c r="Y105" s="182"/>
      <c r="Z105" s="182"/>
      <c r="AA105" s="182"/>
      <c r="AB105" s="18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</row>
    <row r="106" spans="1:43" ht="16.5" x14ac:dyDescent="0.3">
      <c r="A106" s="26" t="s">
        <v>22</v>
      </c>
      <c r="B106" s="27">
        <v>300</v>
      </c>
      <c r="C106" s="27" t="s">
        <v>23</v>
      </c>
      <c r="D106" s="27" t="s">
        <v>228</v>
      </c>
      <c r="E106" s="27" t="s">
        <v>230</v>
      </c>
      <c r="F106" s="32">
        <v>1128631.48</v>
      </c>
      <c r="G106" s="32">
        <v>1288308.4099999999</v>
      </c>
      <c r="H106" s="28">
        <v>1265509.6499999999</v>
      </c>
      <c r="I106" s="28">
        <f>360922.37+65572.5+165291.88+60438.12+201052.26+475+422710.67+52747.2</f>
        <v>1329210</v>
      </c>
      <c r="J106" s="28">
        <v>1365800</v>
      </c>
      <c r="K106" s="18">
        <v>1250955</v>
      </c>
      <c r="L106" s="18"/>
      <c r="M106" s="19">
        <f t="shared" si="0"/>
        <v>1250955</v>
      </c>
      <c r="N106" s="20"/>
      <c r="O106" s="20"/>
      <c r="P106" s="21">
        <f t="shared" si="13"/>
        <v>1250955</v>
      </c>
      <c r="Q106" s="21">
        <f t="shared" si="2"/>
        <v>-114845</v>
      </c>
      <c r="R106" s="22">
        <f t="shared" si="3"/>
        <v>-8.4086249816957101E-2</v>
      </c>
      <c r="S106" s="23"/>
      <c r="T106" s="23"/>
      <c r="U106" s="181"/>
      <c r="V106" s="182"/>
      <c r="W106" s="182"/>
      <c r="X106" s="182"/>
      <c r="Y106" s="182"/>
      <c r="Z106" s="182"/>
      <c r="AA106" s="182"/>
      <c r="AB106" s="18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</row>
    <row r="107" spans="1:43" ht="17.25" x14ac:dyDescent="0.35">
      <c r="A107" s="26" t="s">
        <v>22</v>
      </c>
      <c r="B107" s="27">
        <v>400</v>
      </c>
      <c r="C107" s="27" t="s">
        <v>26</v>
      </c>
      <c r="D107" s="27" t="s">
        <v>231</v>
      </c>
      <c r="E107" s="27" t="s">
        <v>232</v>
      </c>
      <c r="F107" s="28">
        <v>29370.75</v>
      </c>
      <c r="G107" s="28">
        <v>42971.58</v>
      </c>
      <c r="H107" s="28">
        <v>37528.980000000003</v>
      </c>
      <c r="I107" s="28">
        <v>39036.54</v>
      </c>
      <c r="J107" s="28">
        <v>31911.68</v>
      </c>
      <c r="K107" s="18">
        <v>35000</v>
      </c>
      <c r="L107" s="18">
        <v>0</v>
      </c>
      <c r="M107" s="19">
        <f t="shared" si="0"/>
        <v>35000</v>
      </c>
      <c r="N107" s="20"/>
      <c r="O107" s="20"/>
      <c r="P107" s="21">
        <f t="shared" si="13"/>
        <v>35000</v>
      </c>
      <c r="Q107" s="21">
        <f t="shared" si="2"/>
        <v>3088.3199999999997</v>
      </c>
      <c r="R107" s="22">
        <f t="shared" si="3"/>
        <v>9.6777104809273581E-2</v>
      </c>
      <c r="S107" s="47"/>
      <c r="T107" s="48"/>
      <c r="U107" s="24">
        <f t="shared" ref="U107:U111" si="14">+V107*P107</f>
        <v>0</v>
      </c>
      <c r="V107" s="33">
        <v>0</v>
      </c>
      <c r="W107" s="24">
        <f t="shared" ref="W107:W110" si="15">+X107*P107</f>
        <v>1750</v>
      </c>
      <c r="X107" s="33">
        <v>0.05</v>
      </c>
      <c r="Y107" s="24">
        <f t="shared" ref="Y107:Y110" si="16">+Z107*P107</f>
        <v>21000</v>
      </c>
      <c r="Z107" s="33">
        <v>0.6</v>
      </c>
      <c r="AA107" s="24">
        <f t="shared" ref="AA107:AA110" si="17">+AB107*P107</f>
        <v>0</v>
      </c>
      <c r="AB107" s="33">
        <v>0</v>
      </c>
      <c r="AC107" s="47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</row>
    <row r="108" spans="1:43" ht="17.25" x14ac:dyDescent="0.35">
      <c r="A108" s="26" t="s">
        <v>22</v>
      </c>
      <c r="B108" s="27">
        <v>400</v>
      </c>
      <c r="C108" s="27" t="s">
        <v>26</v>
      </c>
      <c r="D108" s="27" t="s">
        <v>233</v>
      </c>
      <c r="E108" s="27" t="s">
        <v>234</v>
      </c>
      <c r="F108" s="28">
        <f>ROUND(+'Expense Worksheet'!K82+'Expense Worksheet'!K83+'Expense Worksheet'!K84+'Expense Worksheet'!K87+'Expense Worksheet'!K89+'Expense Worksheet'!K90+'Expense Worksheet'!K81+'Expense Worksheet'!K86+'Expense Worksheet'!K877+'Expense Worksheet'!K85,0)</f>
        <v>303704</v>
      </c>
      <c r="G108" s="28">
        <v>89393.65</v>
      </c>
      <c r="H108" s="28">
        <v>91694</v>
      </c>
      <c r="I108" s="28">
        <v>93780.800000000003</v>
      </c>
      <c r="J108" s="28">
        <v>95752</v>
      </c>
      <c r="K108" s="18">
        <v>95752</v>
      </c>
      <c r="L108" s="18">
        <v>0</v>
      </c>
      <c r="M108" s="19">
        <f t="shared" si="0"/>
        <v>95752</v>
      </c>
      <c r="N108" s="20"/>
      <c r="O108" s="20"/>
      <c r="P108" s="21">
        <f t="shared" ref="P108:P111" si="18">ROUND(+M108+N108+O108,0)</f>
        <v>95752</v>
      </c>
      <c r="Q108" s="21">
        <f t="shared" si="2"/>
        <v>0</v>
      </c>
      <c r="R108" s="22">
        <f t="shared" si="3"/>
        <v>0</v>
      </c>
      <c r="S108" s="48"/>
      <c r="T108" s="49"/>
      <c r="U108" s="24">
        <f t="shared" si="14"/>
        <v>0</v>
      </c>
      <c r="V108" s="33">
        <v>0</v>
      </c>
      <c r="W108" s="24">
        <f t="shared" si="15"/>
        <v>19150.400000000001</v>
      </c>
      <c r="X108" s="33">
        <v>0.2</v>
      </c>
      <c r="Y108" s="24">
        <f t="shared" si="16"/>
        <v>14362.8</v>
      </c>
      <c r="Z108" s="33">
        <v>0.15</v>
      </c>
      <c r="AA108" s="24">
        <f t="shared" si="17"/>
        <v>9575.2000000000007</v>
      </c>
      <c r="AB108" s="33">
        <v>0.1</v>
      </c>
      <c r="AC108" s="47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</row>
    <row r="109" spans="1:43" ht="17.25" x14ac:dyDescent="0.35">
      <c r="A109" s="26" t="s">
        <v>22</v>
      </c>
      <c r="B109" s="27">
        <v>400</v>
      </c>
      <c r="C109" s="27" t="s">
        <v>26</v>
      </c>
      <c r="D109" s="27" t="s">
        <v>235</v>
      </c>
      <c r="E109" s="27" t="s">
        <v>236</v>
      </c>
      <c r="F109" s="28">
        <v>63757.62</v>
      </c>
      <c r="G109" s="28">
        <v>61338.82</v>
      </c>
      <c r="H109" s="28">
        <v>82758.8</v>
      </c>
      <c r="I109" s="28">
        <v>62063.05</v>
      </c>
      <c r="J109" s="28">
        <v>91454</v>
      </c>
      <c r="K109" s="18">
        <v>91545</v>
      </c>
      <c r="L109" s="18">
        <v>0</v>
      </c>
      <c r="M109" s="19">
        <f t="shared" si="0"/>
        <v>91545</v>
      </c>
      <c r="N109" s="20"/>
      <c r="O109" s="20"/>
      <c r="P109" s="21">
        <f t="shared" si="18"/>
        <v>91545</v>
      </c>
      <c r="Q109" s="21">
        <f t="shared" si="2"/>
        <v>91</v>
      </c>
      <c r="R109" s="22">
        <f t="shared" si="3"/>
        <v>9.9503575568045139E-4</v>
      </c>
      <c r="S109" s="23"/>
      <c r="T109" s="23"/>
      <c r="U109" s="24">
        <f t="shared" si="14"/>
        <v>0</v>
      </c>
      <c r="V109" s="33">
        <v>0</v>
      </c>
      <c r="W109" s="24">
        <f t="shared" si="15"/>
        <v>22886.25</v>
      </c>
      <c r="X109" s="33">
        <v>0.25</v>
      </c>
      <c r="Y109" s="24">
        <f t="shared" si="16"/>
        <v>18309</v>
      </c>
      <c r="Z109" s="33">
        <v>0.2</v>
      </c>
      <c r="AA109" s="24">
        <f t="shared" si="17"/>
        <v>1830.9</v>
      </c>
      <c r="AB109" s="33">
        <v>0.02</v>
      </c>
      <c r="AC109" s="47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</row>
    <row r="110" spans="1:43" ht="17.25" x14ac:dyDescent="0.35">
      <c r="A110" s="26" t="s">
        <v>22</v>
      </c>
      <c r="B110" s="27">
        <v>400</v>
      </c>
      <c r="C110" s="27" t="s">
        <v>26</v>
      </c>
      <c r="D110" s="27" t="s">
        <v>237</v>
      </c>
      <c r="E110" s="27" t="s">
        <v>238</v>
      </c>
      <c r="F110" s="28">
        <v>75584.62</v>
      </c>
      <c r="G110" s="28">
        <v>90468.88</v>
      </c>
      <c r="H110" s="28">
        <v>93573.9</v>
      </c>
      <c r="I110" s="28">
        <v>98396.89</v>
      </c>
      <c r="J110" s="28">
        <f>100654+1278.9</f>
        <v>101932.9</v>
      </c>
      <c r="K110" s="18">
        <v>103024.53</v>
      </c>
      <c r="L110" s="18">
        <v>0.47</v>
      </c>
      <c r="M110" s="19">
        <f t="shared" si="0"/>
        <v>103025</v>
      </c>
      <c r="N110" s="20"/>
      <c r="O110" s="20"/>
      <c r="P110" s="21">
        <f t="shared" si="18"/>
        <v>103025</v>
      </c>
      <c r="Q110" s="21">
        <f t="shared" si="2"/>
        <v>1092.1000000000058</v>
      </c>
      <c r="R110" s="22">
        <f t="shared" si="3"/>
        <v>1.0713910817802749E-2</v>
      </c>
      <c r="S110" s="23"/>
      <c r="T110" s="23"/>
      <c r="U110" s="24">
        <f t="shared" si="14"/>
        <v>15453.75</v>
      </c>
      <c r="V110" s="33">
        <v>0.15</v>
      </c>
      <c r="W110" s="24">
        <f t="shared" si="15"/>
        <v>30907.5</v>
      </c>
      <c r="X110" s="33">
        <v>0.3</v>
      </c>
      <c r="Y110" s="24">
        <f t="shared" si="16"/>
        <v>15453.75</v>
      </c>
      <c r="Z110" s="33">
        <v>0.15</v>
      </c>
      <c r="AA110" s="24">
        <f t="shared" si="17"/>
        <v>10302.5</v>
      </c>
      <c r="AB110" s="33">
        <v>0.1</v>
      </c>
      <c r="AC110" s="47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</row>
    <row r="111" spans="1:43" ht="17.25" x14ac:dyDescent="0.35">
      <c r="A111" s="26" t="s">
        <v>22</v>
      </c>
      <c r="B111" s="27">
        <v>400</v>
      </c>
      <c r="C111" s="27" t="s">
        <v>26</v>
      </c>
      <c r="D111" s="27" t="s">
        <v>239</v>
      </c>
      <c r="E111" s="27" t="s">
        <v>240</v>
      </c>
      <c r="F111" s="28">
        <v>518695.08</v>
      </c>
      <c r="G111" s="28">
        <v>531721.49</v>
      </c>
      <c r="H111" s="28">
        <v>492823.62</v>
      </c>
      <c r="I111" s="28">
        <v>450362.09</v>
      </c>
      <c r="J111" s="28">
        <f>590211+40528.88</f>
        <v>630739.88</v>
      </c>
      <c r="K111" s="18">
        <v>687182.24</v>
      </c>
      <c r="L111" s="18">
        <v>-0.24</v>
      </c>
      <c r="M111" s="19">
        <f t="shared" si="0"/>
        <v>687182</v>
      </c>
      <c r="N111" s="20"/>
      <c r="O111" s="20"/>
      <c r="P111" s="21">
        <f t="shared" si="18"/>
        <v>687182</v>
      </c>
      <c r="Q111" s="21">
        <f t="shared" si="2"/>
        <v>56442.119999999995</v>
      </c>
      <c r="R111" s="22">
        <f t="shared" si="3"/>
        <v>8.9485573672620791E-2</v>
      </c>
      <c r="S111" s="31"/>
      <c r="T111" s="23"/>
      <c r="U111" s="24">
        <f t="shared" si="14"/>
        <v>0</v>
      </c>
      <c r="V111" s="33">
        <v>0</v>
      </c>
      <c r="W111" s="24" t="e">
        <f>+'[1]Indirect Allocation'!F209</f>
        <v>#REF!</v>
      </c>
      <c r="X111" s="33" t="s">
        <v>241</v>
      </c>
      <c r="Y111" s="24" t="e">
        <f>+'[1]Indirect Allocation'!F208</f>
        <v>#REF!</v>
      </c>
      <c r="Z111" s="33" t="s">
        <v>241</v>
      </c>
      <c r="AA111" s="24" t="e">
        <f>+'[1]Indirect Allocation'!F210</f>
        <v>#REF!</v>
      </c>
      <c r="AB111" s="33" t="s">
        <v>241</v>
      </c>
      <c r="AC111" s="47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</row>
    <row r="112" spans="1:43" ht="16.5" x14ac:dyDescent="0.3">
      <c r="A112" s="26" t="s">
        <v>22</v>
      </c>
      <c r="B112" s="27">
        <v>400</v>
      </c>
      <c r="C112" s="27" t="s">
        <v>26</v>
      </c>
      <c r="D112" s="27" t="s">
        <v>242</v>
      </c>
      <c r="E112" s="27" t="s">
        <v>243</v>
      </c>
      <c r="F112" s="28">
        <v>21300</v>
      </c>
      <c r="G112" s="28">
        <v>18921</v>
      </c>
      <c r="H112" s="28">
        <v>10706</v>
      </c>
      <c r="I112" s="28">
        <v>20628.66</v>
      </c>
      <c r="J112" s="28">
        <v>25000</v>
      </c>
      <c r="K112" s="18">
        <v>25000</v>
      </c>
      <c r="L112" s="18"/>
      <c r="M112" s="19">
        <f t="shared" si="0"/>
        <v>25000</v>
      </c>
      <c r="N112" s="20"/>
      <c r="O112" s="20"/>
      <c r="P112" s="21">
        <f>+M112+N112+O112</f>
        <v>25000</v>
      </c>
      <c r="Q112" s="21">
        <f t="shared" si="2"/>
        <v>0</v>
      </c>
      <c r="R112" s="22">
        <f t="shared" si="3"/>
        <v>0</v>
      </c>
      <c r="S112" s="23"/>
      <c r="T112" s="23"/>
      <c r="U112" s="181"/>
      <c r="V112" s="182"/>
      <c r="W112" s="182"/>
      <c r="X112" s="182"/>
      <c r="Y112" s="182"/>
      <c r="Z112" s="182"/>
      <c r="AA112" s="182"/>
      <c r="AB112" s="183"/>
      <c r="AC112" s="47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</row>
    <row r="113" spans="1:43" ht="17.25" x14ac:dyDescent="0.35">
      <c r="A113" s="26" t="s">
        <v>22</v>
      </c>
      <c r="B113" s="27">
        <v>400</v>
      </c>
      <c r="C113" s="27" t="s">
        <v>26</v>
      </c>
      <c r="D113" s="27" t="s">
        <v>244</v>
      </c>
      <c r="E113" s="27" t="s">
        <v>245</v>
      </c>
      <c r="F113" s="28">
        <v>11016.02</v>
      </c>
      <c r="G113" s="28">
        <v>28502.78</v>
      </c>
      <c r="H113" s="28">
        <v>28901.06</v>
      </c>
      <c r="I113" s="28">
        <v>39435.78</v>
      </c>
      <c r="J113" s="28">
        <f>21121+1200</f>
        <v>22321</v>
      </c>
      <c r="K113" s="18">
        <v>22446.959999999999</v>
      </c>
      <c r="L113" s="18">
        <v>0.04</v>
      </c>
      <c r="M113" s="19">
        <f t="shared" si="0"/>
        <v>22447</v>
      </c>
      <c r="N113" s="20"/>
      <c r="O113" s="20"/>
      <c r="P113" s="21">
        <f t="shared" ref="P113:P114" si="19">ROUND(+M113+N113+O113,0)</f>
        <v>22447</v>
      </c>
      <c r="Q113" s="21">
        <f t="shared" si="2"/>
        <v>126</v>
      </c>
      <c r="R113" s="22">
        <f t="shared" si="3"/>
        <v>5.6449083822409391E-3</v>
      </c>
      <c r="S113" s="23"/>
      <c r="T113" s="23"/>
      <c r="U113" s="24">
        <f t="shared" ref="U113:U114" si="20">+V113*P113</f>
        <v>0</v>
      </c>
      <c r="V113" s="33">
        <v>0</v>
      </c>
      <c r="W113" s="24">
        <f>+X113*P113</f>
        <v>2244.7000000000003</v>
      </c>
      <c r="X113" s="33">
        <v>0.1</v>
      </c>
      <c r="Y113" s="24">
        <f>+Z113*P113</f>
        <v>2244.7000000000003</v>
      </c>
      <c r="Z113" s="33">
        <v>0.1</v>
      </c>
      <c r="AA113" s="24">
        <f>+AB113*P113</f>
        <v>448.94</v>
      </c>
      <c r="AB113" s="33">
        <v>0.02</v>
      </c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</row>
    <row r="114" spans="1:43" ht="17.25" x14ac:dyDescent="0.35">
      <c r="A114" s="26" t="s">
        <v>22</v>
      </c>
      <c r="B114" s="27">
        <v>400</v>
      </c>
      <c r="C114" s="27" t="s">
        <v>26</v>
      </c>
      <c r="D114" s="27" t="s">
        <v>246</v>
      </c>
      <c r="E114" s="27" t="s">
        <v>247</v>
      </c>
      <c r="F114" s="28">
        <v>41300</v>
      </c>
      <c r="G114" s="28">
        <v>39937.5</v>
      </c>
      <c r="H114" s="28">
        <v>38488.800000000003</v>
      </c>
      <c r="I114" s="28">
        <v>35750</v>
      </c>
      <c r="J114" s="28">
        <f>37700+8450</f>
        <v>46150</v>
      </c>
      <c r="K114" s="18">
        <v>60475</v>
      </c>
      <c r="L114" s="18">
        <v>0</v>
      </c>
      <c r="M114" s="19">
        <f t="shared" si="0"/>
        <v>60475</v>
      </c>
      <c r="N114" s="20"/>
      <c r="O114" s="20"/>
      <c r="P114" s="21">
        <f t="shared" si="19"/>
        <v>60475</v>
      </c>
      <c r="Q114" s="21">
        <f t="shared" si="2"/>
        <v>14325</v>
      </c>
      <c r="R114" s="22">
        <f t="shared" si="3"/>
        <v>0.31040086673889489</v>
      </c>
      <c r="S114" s="23"/>
      <c r="T114" s="23"/>
      <c r="U114" s="24">
        <f t="shared" si="20"/>
        <v>0</v>
      </c>
      <c r="V114" s="33">
        <f>+V111</f>
        <v>0</v>
      </c>
      <c r="W114" s="24" t="e">
        <f>+'[1]Indirect Allocation'!F214</f>
        <v>#REF!</v>
      </c>
      <c r="X114" s="33" t="str">
        <f>+X111</f>
        <v>flat</v>
      </c>
      <c r="Y114" s="24" t="e">
        <f>+'[1]Indirect Allocation'!F213</f>
        <v>#REF!</v>
      </c>
      <c r="Z114" s="33" t="str">
        <f>+Z111</f>
        <v>flat</v>
      </c>
      <c r="AA114" s="24" t="e">
        <f>+'[1]Indirect Allocation'!F215</f>
        <v>#REF!</v>
      </c>
      <c r="AB114" s="33" t="s">
        <v>241</v>
      </c>
      <c r="AC114" s="47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</row>
    <row r="115" spans="1:43" ht="16.5" x14ac:dyDescent="0.3">
      <c r="A115" s="26" t="s">
        <v>22</v>
      </c>
      <c r="B115" s="27">
        <v>400</v>
      </c>
      <c r="C115" s="27" t="s">
        <v>23</v>
      </c>
      <c r="D115" s="27" t="s">
        <v>248</v>
      </c>
      <c r="E115" s="27" t="s">
        <v>249</v>
      </c>
      <c r="F115" s="28">
        <v>12795.54</v>
      </c>
      <c r="G115" s="28">
        <v>11732.12</v>
      </c>
      <c r="H115" s="28">
        <v>9587.64</v>
      </c>
      <c r="I115" s="28">
        <v>0</v>
      </c>
      <c r="J115" s="28">
        <v>0</v>
      </c>
      <c r="K115" s="18">
        <v>0</v>
      </c>
      <c r="L115" s="18"/>
      <c r="M115" s="19">
        <f t="shared" si="0"/>
        <v>0</v>
      </c>
      <c r="N115" s="20"/>
      <c r="O115" s="20"/>
      <c r="P115" s="21">
        <f t="shared" ref="P115:P129" si="21">+M115+N115+O115</f>
        <v>0</v>
      </c>
      <c r="Q115" s="21">
        <f t="shared" si="2"/>
        <v>0</v>
      </c>
      <c r="R115" s="22" t="e">
        <f t="shared" si="3"/>
        <v>#DIV/0!</v>
      </c>
      <c r="S115" s="23"/>
      <c r="T115" s="23"/>
      <c r="U115" s="181"/>
      <c r="V115" s="182"/>
      <c r="W115" s="182"/>
      <c r="X115" s="182"/>
      <c r="Y115" s="182"/>
      <c r="Z115" s="182"/>
      <c r="AA115" s="182"/>
      <c r="AB115" s="183"/>
      <c r="AC115" s="47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</row>
    <row r="116" spans="1:43" ht="17.25" x14ac:dyDescent="0.35">
      <c r="A116" s="26" t="s">
        <v>22</v>
      </c>
      <c r="B116" s="27">
        <v>400</v>
      </c>
      <c r="C116" s="27" t="s">
        <v>23</v>
      </c>
      <c r="D116" s="27" t="s">
        <v>250</v>
      </c>
      <c r="E116" s="27" t="s">
        <v>251</v>
      </c>
      <c r="F116" s="28">
        <v>64152.54</v>
      </c>
      <c r="G116" s="28">
        <v>84851.33</v>
      </c>
      <c r="H116" s="28">
        <v>77472.259999999995</v>
      </c>
      <c r="I116" s="28">
        <v>80567.199999999997</v>
      </c>
      <c r="J116" s="28">
        <v>90000</v>
      </c>
      <c r="K116" s="18">
        <v>90000</v>
      </c>
      <c r="L116" s="18">
        <v>-21700</v>
      </c>
      <c r="M116" s="19">
        <f t="shared" si="0"/>
        <v>68300</v>
      </c>
      <c r="N116" s="20"/>
      <c r="O116" s="20"/>
      <c r="P116" s="21">
        <f t="shared" si="21"/>
        <v>68300</v>
      </c>
      <c r="Q116" s="21">
        <f t="shared" si="2"/>
        <v>-21700</v>
      </c>
      <c r="R116" s="22">
        <f t="shared" si="3"/>
        <v>-0.24111111111111111</v>
      </c>
      <c r="S116" s="23"/>
      <c r="T116" s="23"/>
      <c r="U116" s="24">
        <f>+V116*P116</f>
        <v>4098</v>
      </c>
      <c r="V116" s="33">
        <v>0.06</v>
      </c>
      <c r="W116" s="24">
        <f>+X116*P116</f>
        <v>11611</v>
      </c>
      <c r="X116" s="33">
        <v>0.17</v>
      </c>
      <c r="Y116" s="24">
        <f>+Z116*P116</f>
        <v>8196</v>
      </c>
      <c r="Z116" s="33">
        <v>0.12</v>
      </c>
      <c r="AA116" s="24">
        <f>+AB116*P116</f>
        <v>5464</v>
      </c>
      <c r="AB116" s="33">
        <v>0.08</v>
      </c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</row>
    <row r="117" spans="1:43" ht="16.5" x14ac:dyDescent="0.3">
      <c r="A117" s="26" t="s">
        <v>22</v>
      </c>
      <c r="B117" s="27">
        <v>400</v>
      </c>
      <c r="C117" s="27" t="s">
        <v>23</v>
      </c>
      <c r="D117" s="27" t="s">
        <v>252</v>
      </c>
      <c r="E117" s="27" t="s">
        <v>253</v>
      </c>
      <c r="F117" s="28">
        <v>2407.4699999999998</v>
      </c>
      <c r="G117" s="28">
        <v>3426.2</v>
      </c>
      <c r="H117" s="28">
        <v>0</v>
      </c>
      <c r="I117" s="28">
        <v>0</v>
      </c>
      <c r="J117" s="28">
        <v>0</v>
      </c>
      <c r="K117" s="18">
        <v>0</v>
      </c>
      <c r="L117" s="18">
        <v>0</v>
      </c>
      <c r="M117" s="19">
        <f t="shared" si="0"/>
        <v>0</v>
      </c>
      <c r="N117" s="20"/>
      <c r="O117" s="20"/>
      <c r="P117" s="21">
        <f t="shared" si="21"/>
        <v>0</v>
      </c>
      <c r="Q117" s="21">
        <f t="shared" si="2"/>
        <v>0</v>
      </c>
      <c r="R117" s="22" t="e">
        <f t="shared" si="3"/>
        <v>#DIV/0!</v>
      </c>
      <c r="S117" s="23"/>
      <c r="T117" s="23"/>
      <c r="U117" s="181"/>
      <c r="V117" s="182"/>
      <c r="W117" s="182"/>
      <c r="X117" s="182"/>
      <c r="Y117" s="182"/>
      <c r="Z117" s="182"/>
      <c r="AA117" s="182"/>
      <c r="AB117" s="18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</row>
    <row r="118" spans="1:43" ht="16.5" x14ac:dyDescent="0.3">
      <c r="A118" s="26" t="s">
        <v>22</v>
      </c>
      <c r="B118" s="27">
        <v>400</v>
      </c>
      <c r="C118" s="27" t="s">
        <v>23</v>
      </c>
      <c r="D118" s="27" t="s">
        <v>254</v>
      </c>
      <c r="E118" s="27" t="s">
        <v>255</v>
      </c>
      <c r="F118" s="28">
        <v>3008.35</v>
      </c>
      <c r="G118" s="28">
        <v>3521.01</v>
      </c>
      <c r="H118" s="28">
        <v>3831.11</v>
      </c>
      <c r="I118" s="28">
        <v>3316.19</v>
      </c>
      <c r="J118" s="28">
        <v>0</v>
      </c>
      <c r="K118" s="18">
        <v>0</v>
      </c>
      <c r="L118" s="18">
        <v>0</v>
      </c>
      <c r="M118" s="19">
        <f t="shared" si="0"/>
        <v>0</v>
      </c>
      <c r="N118" s="20"/>
      <c r="O118" s="20"/>
      <c r="P118" s="21">
        <f t="shared" si="21"/>
        <v>0</v>
      </c>
      <c r="Q118" s="21">
        <f t="shared" si="2"/>
        <v>0</v>
      </c>
      <c r="R118" s="22" t="e">
        <f t="shared" si="3"/>
        <v>#DIV/0!</v>
      </c>
      <c r="S118" s="23"/>
      <c r="T118" s="23"/>
      <c r="U118" s="181"/>
      <c r="V118" s="182"/>
      <c r="W118" s="182"/>
      <c r="X118" s="182"/>
      <c r="Y118" s="182"/>
      <c r="Z118" s="182"/>
      <c r="AA118" s="182"/>
      <c r="AB118" s="18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</row>
    <row r="119" spans="1:43" ht="17.25" x14ac:dyDescent="0.35">
      <c r="A119" s="26" t="s">
        <v>22</v>
      </c>
      <c r="B119" s="27">
        <v>400</v>
      </c>
      <c r="C119" s="27" t="s">
        <v>23</v>
      </c>
      <c r="D119" s="27" t="s">
        <v>256</v>
      </c>
      <c r="E119" s="27" t="s">
        <v>257</v>
      </c>
      <c r="F119" s="28">
        <v>88426.55</v>
      </c>
      <c r="G119" s="28">
        <v>27282.639999999999</v>
      </c>
      <c r="H119" s="28">
        <v>47639.56</v>
      </c>
      <c r="I119" s="28">
        <v>16805.73</v>
      </c>
      <c r="J119" s="28">
        <v>55000</v>
      </c>
      <c r="K119" s="18">
        <v>50000</v>
      </c>
      <c r="L119" s="18">
        <v>0</v>
      </c>
      <c r="M119" s="19">
        <f t="shared" si="0"/>
        <v>50000</v>
      </c>
      <c r="N119" s="20"/>
      <c r="O119" s="20"/>
      <c r="P119" s="21">
        <f t="shared" si="21"/>
        <v>50000</v>
      </c>
      <c r="Q119" s="21">
        <f t="shared" si="2"/>
        <v>-5000</v>
      </c>
      <c r="R119" s="22">
        <f t="shared" si="3"/>
        <v>-9.0909090909090912E-2</v>
      </c>
      <c r="S119" s="23"/>
      <c r="T119" s="23"/>
      <c r="U119" s="24">
        <f>+V119*P119</f>
        <v>1000</v>
      </c>
      <c r="V119" s="33">
        <v>0.02</v>
      </c>
      <c r="W119" s="24">
        <f>+X119*P119</f>
        <v>5000</v>
      </c>
      <c r="X119" s="33">
        <v>0.1</v>
      </c>
      <c r="Y119" s="24">
        <f>+Z119*P119</f>
        <v>6000</v>
      </c>
      <c r="Z119" s="33">
        <v>0.12</v>
      </c>
      <c r="AA119" s="24">
        <f>+AB119*P119</f>
        <v>1000</v>
      </c>
      <c r="AB119" s="33">
        <v>0.02</v>
      </c>
      <c r="AC119" s="47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</row>
    <row r="120" spans="1:43" ht="16.5" x14ac:dyDescent="0.3">
      <c r="A120" s="26" t="s">
        <v>22</v>
      </c>
      <c r="B120" s="27">
        <v>400</v>
      </c>
      <c r="C120" s="27" t="s">
        <v>23</v>
      </c>
      <c r="D120" s="27" t="s">
        <v>258</v>
      </c>
      <c r="E120" s="27" t="s">
        <v>259</v>
      </c>
      <c r="F120" s="28"/>
      <c r="G120" s="28"/>
      <c r="H120" s="28"/>
      <c r="I120" s="28">
        <v>0</v>
      </c>
      <c r="J120" s="28">
        <v>25000</v>
      </c>
      <c r="K120" s="18">
        <v>25000</v>
      </c>
      <c r="L120" s="18">
        <v>0</v>
      </c>
      <c r="M120" s="19">
        <f t="shared" si="0"/>
        <v>25000</v>
      </c>
      <c r="N120" s="20"/>
      <c r="O120" s="20"/>
      <c r="P120" s="21">
        <f t="shared" si="21"/>
        <v>25000</v>
      </c>
      <c r="Q120" s="21">
        <f t="shared" si="2"/>
        <v>0</v>
      </c>
      <c r="R120" s="22">
        <f t="shared" si="3"/>
        <v>0</v>
      </c>
      <c r="S120" s="23"/>
      <c r="T120" s="23"/>
      <c r="U120" s="181"/>
      <c r="V120" s="182"/>
      <c r="W120" s="182"/>
      <c r="X120" s="182"/>
      <c r="Y120" s="182"/>
      <c r="Z120" s="182"/>
      <c r="AA120" s="182"/>
      <c r="AB120" s="183"/>
      <c r="AC120" s="47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</row>
    <row r="121" spans="1:43" ht="16.5" x14ac:dyDescent="0.3">
      <c r="A121" s="26" t="s">
        <v>22</v>
      </c>
      <c r="B121" s="27">
        <v>400</v>
      </c>
      <c r="C121" s="27" t="s">
        <v>23</v>
      </c>
      <c r="D121" s="27" t="s">
        <v>260</v>
      </c>
      <c r="E121" s="27" t="s">
        <v>261</v>
      </c>
      <c r="F121" s="28"/>
      <c r="G121" s="28"/>
      <c r="H121" s="28">
        <v>16907.29</v>
      </c>
      <c r="I121" s="28">
        <v>13998.62</v>
      </c>
      <c r="J121" s="28">
        <v>0</v>
      </c>
      <c r="K121" s="18"/>
      <c r="L121" s="18"/>
      <c r="M121" s="19">
        <f t="shared" si="0"/>
        <v>0</v>
      </c>
      <c r="N121" s="20"/>
      <c r="O121" s="20"/>
      <c r="P121" s="21">
        <f t="shared" si="21"/>
        <v>0</v>
      </c>
      <c r="Q121" s="21">
        <f t="shared" si="2"/>
        <v>0</v>
      </c>
      <c r="R121" s="22" t="e">
        <f t="shared" si="3"/>
        <v>#DIV/0!</v>
      </c>
      <c r="S121" s="23"/>
      <c r="T121" s="23"/>
      <c r="U121" s="181"/>
      <c r="V121" s="182"/>
      <c r="W121" s="182"/>
      <c r="X121" s="182"/>
      <c r="Y121" s="182"/>
      <c r="Z121" s="182"/>
      <c r="AA121" s="182"/>
      <c r="AB121" s="183"/>
      <c r="AC121" s="47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</row>
    <row r="122" spans="1:43" ht="17.25" x14ac:dyDescent="0.35">
      <c r="A122" s="26" t="s">
        <v>22</v>
      </c>
      <c r="B122" s="27">
        <v>400</v>
      </c>
      <c r="C122" s="27" t="s">
        <v>23</v>
      </c>
      <c r="D122" s="27" t="s">
        <v>262</v>
      </c>
      <c r="E122" s="27" t="s">
        <v>263</v>
      </c>
      <c r="F122" s="28">
        <v>79826.25</v>
      </c>
      <c r="G122" s="28">
        <v>119172.93</v>
      </c>
      <c r="H122" s="28">
        <v>53678.35</v>
      </c>
      <c r="I122" s="28">
        <v>62397.15</v>
      </c>
      <c r="J122" s="28">
        <v>80000</v>
      </c>
      <c r="K122" s="18">
        <v>81300</v>
      </c>
      <c r="L122" s="18">
        <v>0</v>
      </c>
      <c r="M122" s="19">
        <f t="shared" si="0"/>
        <v>81300</v>
      </c>
      <c r="N122" s="20"/>
      <c r="O122" s="20"/>
      <c r="P122" s="21">
        <f t="shared" si="21"/>
        <v>81300</v>
      </c>
      <c r="Q122" s="21">
        <f t="shared" si="2"/>
        <v>1300</v>
      </c>
      <c r="R122" s="22">
        <f t="shared" si="3"/>
        <v>1.6250000000000001E-2</v>
      </c>
      <c r="S122" s="23"/>
      <c r="T122" s="23"/>
      <c r="U122" s="24">
        <f>+V122*P122</f>
        <v>2439</v>
      </c>
      <c r="V122" s="33">
        <v>0.03</v>
      </c>
      <c r="W122" s="24">
        <f>+X122*P122</f>
        <v>12195</v>
      </c>
      <c r="X122" s="33">
        <v>0.15</v>
      </c>
      <c r="Y122" s="24">
        <f>+Z122*P122</f>
        <v>8130</v>
      </c>
      <c r="Z122" s="33">
        <v>0.1</v>
      </c>
      <c r="AA122" s="24">
        <f>+AB122*P122</f>
        <v>1626</v>
      </c>
      <c r="AB122" s="33">
        <v>0.02</v>
      </c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</row>
    <row r="123" spans="1:43" ht="16.5" x14ac:dyDescent="0.3">
      <c r="A123" s="26" t="s">
        <v>22</v>
      </c>
      <c r="B123" s="27">
        <v>400</v>
      </c>
      <c r="C123" s="27" t="s">
        <v>23</v>
      </c>
      <c r="D123" s="27" t="s">
        <v>264</v>
      </c>
      <c r="E123" s="27" t="s">
        <v>265</v>
      </c>
      <c r="F123" s="28"/>
      <c r="G123" s="28"/>
      <c r="H123" s="28">
        <v>0</v>
      </c>
      <c r="I123" s="28">
        <v>0</v>
      </c>
      <c r="J123" s="28">
        <v>6000</v>
      </c>
      <c r="K123" s="18">
        <v>6000</v>
      </c>
      <c r="L123" s="18">
        <v>0</v>
      </c>
      <c r="M123" s="19">
        <f t="shared" si="0"/>
        <v>6000</v>
      </c>
      <c r="N123" s="20"/>
      <c r="O123" s="20"/>
      <c r="P123" s="21">
        <f t="shared" si="21"/>
        <v>6000</v>
      </c>
      <c r="Q123" s="21">
        <f t="shared" si="2"/>
        <v>0</v>
      </c>
      <c r="R123" s="22">
        <f t="shared" si="3"/>
        <v>0</v>
      </c>
      <c r="S123" s="23"/>
      <c r="T123" s="23"/>
      <c r="U123" s="181"/>
      <c r="V123" s="182"/>
      <c r="W123" s="182"/>
      <c r="X123" s="182"/>
      <c r="Y123" s="182"/>
      <c r="Z123" s="182"/>
      <c r="AA123" s="182"/>
      <c r="AB123" s="18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</row>
    <row r="124" spans="1:43" ht="16.5" x14ac:dyDescent="0.3">
      <c r="A124" s="26" t="s">
        <v>22</v>
      </c>
      <c r="B124" s="27">
        <v>400</v>
      </c>
      <c r="C124" s="27" t="s">
        <v>23</v>
      </c>
      <c r="D124" s="27" t="s">
        <v>266</v>
      </c>
      <c r="E124" s="27" t="s">
        <v>267</v>
      </c>
      <c r="F124" s="28">
        <v>0</v>
      </c>
      <c r="G124" s="28">
        <v>0</v>
      </c>
      <c r="H124" s="28">
        <v>0</v>
      </c>
      <c r="I124" s="28">
        <v>6450</v>
      </c>
      <c r="J124" s="28">
        <v>4500</v>
      </c>
      <c r="K124" s="18">
        <v>15000</v>
      </c>
      <c r="L124" s="18">
        <v>-5000</v>
      </c>
      <c r="M124" s="19">
        <f t="shared" si="0"/>
        <v>10000</v>
      </c>
      <c r="N124" s="20"/>
      <c r="O124" s="20"/>
      <c r="P124" s="21">
        <f t="shared" si="21"/>
        <v>10000</v>
      </c>
      <c r="Q124" s="21">
        <f t="shared" si="2"/>
        <v>5500</v>
      </c>
      <c r="R124" s="22">
        <f t="shared" si="3"/>
        <v>1.2222222222222223</v>
      </c>
      <c r="S124" s="23"/>
      <c r="T124" s="23"/>
      <c r="U124" s="181"/>
      <c r="V124" s="182"/>
      <c r="W124" s="182"/>
      <c r="X124" s="182"/>
      <c r="Y124" s="182"/>
      <c r="Z124" s="182"/>
      <c r="AA124" s="182"/>
      <c r="AB124" s="18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</row>
    <row r="125" spans="1:43" ht="16.5" x14ac:dyDescent="0.3">
      <c r="A125" s="26" t="s">
        <v>22</v>
      </c>
      <c r="B125" s="27">
        <v>400</v>
      </c>
      <c r="C125" s="27" t="s">
        <v>23</v>
      </c>
      <c r="D125" s="27" t="s">
        <v>268</v>
      </c>
      <c r="E125" s="27" t="s">
        <v>269</v>
      </c>
      <c r="F125" s="28">
        <v>0</v>
      </c>
      <c r="G125" s="28">
        <v>0</v>
      </c>
      <c r="H125" s="28">
        <v>0</v>
      </c>
      <c r="I125" s="28">
        <v>32972.14</v>
      </c>
      <c r="J125" s="28">
        <v>150000</v>
      </c>
      <c r="K125" s="18">
        <v>150000</v>
      </c>
      <c r="L125" s="18">
        <v>-10000</v>
      </c>
      <c r="M125" s="19">
        <f t="shared" si="0"/>
        <v>140000</v>
      </c>
      <c r="N125" s="20"/>
      <c r="O125" s="20"/>
      <c r="P125" s="21">
        <f t="shared" si="21"/>
        <v>140000</v>
      </c>
      <c r="Q125" s="21">
        <f t="shared" si="2"/>
        <v>-10000</v>
      </c>
      <c r="R125" s="22">
        <f t="shared" si="3"/>
        <v>-6.6666666666666666E-2</v>
      </c>
      <c r="S125" s="23"/>
      <c r="T125" s="23"/>
      <c r="U125" s="181"/>
      <c r="V125" s="182"/>
      <c r="W125" s="182"/>
      <c r="X125" s="182"/>
      <c r="Y125" s="182"/>
      <c r="Z125" s="182"/>
      <c r="AA125" s="182"/>
      <c r="AB125" s="18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</row>
    <row r="126" spans="1:43" ht="16.5" x14ac:dyDescent="0.3">
      <c r="A126" s="26" t="s">
        <v>22</v>
      </c>
      <c r="B126" s="27">
        <v>400</v>
      </c>
      <c r="C126" s="27" t="s">
        <v>23</v>
      </c>
      <c r="D126" s="27" t="s">
        <v>258</v>
      </c>
      <c r="E126" s="27" t="s">
        <v>270</v>
      </c>
      <c r="F126" s="28">
        <v>0</v>
      </c>
      <c r="G126" s="28">
        <v>0</v>
      </c>
      <c r="H126" s="28">
        <v>0</v>
      </c>
      <c r="I126" s="28">
        <v>0</v>
      </c>
      <c r="J126" s="28">
        <v>27000</v>
      </c>
      <c r="K126" s="18">
        <v>27000</v>
      </c>
      <c r="L126" s="18"/>
      <c r="M126" s="19">
        <f t="shared" si="0"/>
        <v>27000</v>
      </c>
      <c r="N126" s="20"/>
      <c r="O126" s="20"/>
      <c r="P126" s="21">
        <f t="shared" si="21"/>
        <v>27000</v>
      </c>
      <c r="Q126" s="21">
        <f t="shared" si="2"/>
        <v>0</v>
      </c>
      <c r="R126" s="22">
        <f t="shared" si="3"/>
        <v>0</v>
      </c>
      <c r="S126" s="23"/>
      <c r="T126" s="23"/>
      <c r="U126" s="41"/>
      <c r="V126" s="42"/>
      <c r="W126" s="42"/>
      <c r="X126" s="42"/>
      <c r="Y126" s="42"/>
      <c r="Z126" s="42"/>
      <c r="AA126" s="42"/>
      <c r="AB126" s="4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</row>
    <row r="127" spans="1:43" ht="16.5" x14ac:dyDescent="0.3">
      <c r="A127" s="26" t="s">
        <v>22</v>
      </c>
      <c r="B127" s="27">
        <v>422</v>
      </c>
      <c r="C127" s="27" t="s">
        <v>23</v>
      </c>
      <c r="D127" s="27" t="s">
        <v>271</v>
      </c>
      <c r="E127" s="27" t="s">
        <v>272</v>
      </c>
      <c r="F127" s="28">
        <v>58000</v>
      </c>
      <c r="G127" s="28">
        <v>49228.6</v>
      </c>
      <c r="H127" s="28">
        <v>57618.31</v>
      </c>
      <c r="I127" s="28">
        <v>37900.53</v>
      </c>
      <c r="J127" s="28">
        <v>40000</v>
      </c>
      <c r="K127" s="18">
        <v>60000</v>
      </c>
      <c r="L127" s="18"/>
      <c r="M127" s="19">
        <f t="shared" si="0"/>
        <v>60000</v>
      </c>
      <c r="N127" s="20"/>
      <c r="O127" s="20"/>
      <c r="P127" s="21">
        <f t="shared" si="21"/>
        <v>60000</v>
      </c>
      <c r="Q127" s="21">
        <f t="shared" si="2"/>
        <v>20000</v>
      </c>
      <c r="R127" s="22">
        <f t="shared" si="3"/>
        <v>0.5</v>
      </c>
      <c r="S127" s="23"/>
      <c r="T127" s="23"/>
      <c r="U127" s="181"/>
      <c r="V127" s="182"/>
      <c r="W127" s="182"/>
      <c r="X127" s="182"/>
      <c r="Y127" s="182"/>
      <c r="Z127" s="182"/>
      <c r="AA127" s="182"/>
      <c r="AB127" s="18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</row>
    <row r="128" spans="1:43" ht="16.5" x14ac:dyDescent="0.3">
      <c r="A128" s="26" t="s">
        <v>22</v>
      </c>
      <c r="B128" s="27">
        <v>423</v>
      </c>
      <c r="C128" s="27" t="s">
        <v>23</v>
      </c>
      <c r="D128" s="27" t="s">
        <v>273</v>
      </c>
      <c r="E128" s="27" t="s">
        <v>274</v>
      </c>
      <c r="F128" s="28">
        <v>243334.54</v>
      </c>
      <c r="G128" s="28">
        <v>284104.03000000003</v>
      </c>
      <c r="H128" s="28">
        <v>194882.19</v>
      </c>
      <c r="I128" s="28">
        <v>103353.66</v>
      </c>
      <c r="J128" s="28">
        <v>150000</v>
      </c>
      <c r="K128" s="18">
        <v>150000</v>
      </c>
      <c r="L128" s="18"/>
      <c r="M128" s="19">
        <f t="shared" si="0"/>
        <v>150000</v>
      </c>
      <c r="N128" s="20"/>
      <c r="O128" s="20"/>
      <c r="P128" s="21">
        <f t="shared" si="21"/>
        <v>150000</v>
      </c>
      <c r="Q128" s="21">
        <f t="shared" si="2"/>
        <v>0</v>
      </c>
      <c r="R128" s="22">
        <f t="shared" si="3"/>
        <v>0</v>
      </c>
      <c r="S128" s="23"/>
      <c r="T128" s="23"/>
      <c r="U128" s="181"/>
      <c r="V128" s="182"/>
      <c r="W128" s="182"/>
      <c r="X128" s="182"/>
      <c r="Y128" s="182"/>
      <c r="Z128" s="182"/>
      <c r="AA128" s="182"/>
      <c r="AB128" s="18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</row>
    <row r="129" spans="1:43" ht="16.5" x14ac:dyDescent="0.3">
      <c r="A129" s="26" t="s">
        <v>22</v>
      </c>
      <c r="B129" s="27">
        <v>424</v>
      </c>
      <c r="C129" s="27" t="s">
        <v>23</v>
      </c>
      <c r="D129" s="27" t="s">
        <v>275</v>
      </c>
      <c r="E129" s="27" t="s">
        <v>276</v>
      </c>
      <c r="F129" s="28">
        <v>162679.76999999999</v>
      </c>
      <c r="G129" s="28">
        <v>172121.43</v>
      </c>
      <c r="H129" s="28">
        <v>139582.75</v>
      </c>
      <c r="I129" s="28">
        <v>74420.42</v>
      </c>
      <c r="J129" s="28">
        <v>80000</v>
      </c>
      <c r="K129" s="18">
        <v>85000</v>
      </c>
      <c r="L129" s="18">
        <v>20000</v>
      </c>
      <c r="M129" s="19">
        <f t="shared" si="0"/>
        <v>105000</v>
      </c>
      <c r="N129" s="20"/>
      <c r="O129" s="20"/>
      <c r="P129" s="21">
        <f t="shared" si="21"/>
        <v>105000</v>
      </c>
      <c r="Q129" s="21">
        <f t="shared" si="2"/>
        <v>25000</v>
      </c>
      <c r="R129" s="22">
        <f t="shared" si="3"/>
        <v>0.3125</v>
      </c>
      <c r="S129" s="23"/>
      <c r="T129" s="23"/>
      <c r="U129" s="181"/>
      <c r="V129" s="182"/>
      <c r="W129" s="182"/>
      <c r="X129" s="182"/>
      <c r="Y129" s="182"/>
      <c r="Z129" s="182"/>
      <c r="AA129" s="182"/>
      <c r="AB129" s="18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</row>
    <row r="130" spans="1:43" ht="16.5" x14ac:dyDescent="0.3">
      <c r="A130" s="26" t="s">
        <v>22</v>
      </c>
      <c r="B130" s="27">
        <v>541</v>
      </c>
      <c r="C130" s="27" t="s">
        <v>26</v>
      </c>
      <c r="D130" s="27" t="s">
        <v>277</v>
      </c>
      <c r="E130" s="27" t="s">
        <v>278</v>
      </c>
      <c r="F130" s="28">
        <f>37375.22-6444</f>
        <v>30931.22</v>
      </c>
      <c r="G130" s="28">
        <v>29127.119999999999</v>
      </c>
      <c r="H130" s="28">
        <v>14088.8</v>
      </c>
      <c r="I130" s="28">
        <v>13916.6</v>
      </c>
      <c r="J130" s="28">
        <v>33760</v>
      </c>
      <c r="K130" s="18">
        <v>34815.31</v>
      </c>
      <c r="L130" s="18">
        <v>-0.31</v>
      </c>
      <c r="M130" s="19">
        <f t="shared" si="0"/>
        <v>34815</v>
      </c>
      <c r="N130" s="30">
        <v>-10000</v>
      </c>
      <c r="O130" s="20"/>
      <c r="P130" s="21">
        <f>ROUND(+M130+N130+O130,0)</f>
        <v>24815</v>
      </c>
      <c r="Q130" s="21">
        <f t="shared" si="2"/>
        <v>-8945</v>
      </c>
      <c r="R130" s="22">
        <f t="shared" si="3"/>
        <v>-0.26495853080568721</v>
      </c>
      <c r="S130" s="23"/>
      <c r="T130" s="23"/>
      <c r="U130" s="181"/>
      <c r="V130" s="182"/>
      <c r="W130" s="182"/>
      <c r="X130" s="182"/>
      <c r="Y130" s="182"/>
      <c r="Z130" s="182"/>
      <c r="AA130" s="182"/>
      <c r="AB130" s="18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</row>
    <row r="131" spans="1:43" ht="16.5" x14ac:dyDescent="0.3">
      <c r="A131" s="26" t="s">
        <v>22</v>
      </c>
      <c r="B131" s="27">
        <v>541</v>
      </c>
      <c r="C131" s="27" t="s">
        <v>26</v>
      </c>
      <c r="D131" s="27" t="s">
        <v>279</v>
      </c>
      <c r="E131" s="27" t="s">
        <v>280</v>
      </c>
      <c r="F131" s="28">
        <v>0</v>
      </c>
      <c r="G131" s="28">
        <v>2905.98</v>
      </c>
      <c r="H131" s="28">
        <v>17560</v>
      </c>
      <c r="I131" s="28">
        <v>11883</v>
      </c>
      <c r="J131" s="28">
        <v>10650</v>
      </c>
      <c r="K131" s="18">
        <v>30415.9</v>
      </c>
      <c r="L131" s="18">
        <v>0.1</v>
      </c>
      <c r="M131" s="19">
        <f t="shared" si="0"/>
        <v>30416</v>
      </c>
      <c r="N131" s="30"/>
      <c r="O131" s="20"/>
      <c r="P131" s="21">
        <f>+M131+N131+O131</f>
        <v>30416</v>
      </c>
      <c r="Q131" s="21">
        <f t="shared" si="2"/>
        <v>19766</v>
      </c>
      <c r="R131" s="22">
        <f t="shared" si="3"/>
        <v>1.8559624413145539</v>
      </c>
      <c r="S131" s="23"/>
      <c r="T131" s="23"/>
      <c r="U131" s="181"/>
      <c r="V131" s="182"/>
      <c r="W131" s="182"/>
      <c r="X131" s="182"/>
      <c r="Y131" s="182"/>
      <c r="Z131" s="182"/>
      <c r="AA131" s="182"/>
      <c r="AB131" s="18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</row>
    <row r="132" spans="1:43" ht="16.5" x14ac:dyDescent="0.3">
      <c r="A132" s="26" t="s">
        <v>22</v>
      </c>
      <c r="B132" s="27">
        <v>541</v>
      </c>
      <c r="C132" s="27" t="s">
        <v>26</v>
      </c>
      <c r="D132" s="27" t="s">
        <v>281</v>
      </c>
      <c r="E132" s="27" t="s">
        <v>282</v>
      </c>
      <c r="F132" s="28">
        <v>400</v>
      </c>
      <c r="G132" s="28">
        <v>250</v>
      </c>
      <c r="H132" s="28">
        <v>10000.379999999999</v>
      </c>
      <c r="I132" s="28">
        <v>2911.48</v>
      </c>
      <c r="J132" s="28">
        <v>10612</v>
      </c>
      <c r="K132" s="18">
        <v>29275.85</v>
      </c>
      <c r="L132" s="18">
        <v>0.15</v>
      </c>
      <c r="M132" s="19">
        <f t="shared" si="0"/>
        <v>29276</v>
      </c>
      <c r="N132" s="30">
        <v>-10000</v>
      </c>
      <c r="O132" s="20"/>
      <c r="P132" s="21">
        <f t="shared" ref="P132:P133" si="22">ROUND(+M132+N132+O132,0)</f>
        <v>19276</v>
      </c>
      <c r="Q132" s="21">
        <f t="shared" si="2"/>
        <v>8664</v>
      </c>
      <c r="R132" s="22">
        <f t="shared" si="3"/>
        <v>0.81643422540520161</v>
      </c>
      <c r="S132" s="23"/>
      <c r="T132" s="23"/>
      <c r="U132" s="181"/>
      <c r="V132" s="182"/>
      <c r="W132" s="182"/>
      <c r="X132" s="182"/>
      <c r="Y132" s="182"/>
      <c r="Z132" s="182"/>
      <c r="AA132" s="182"/>
      <c r="AB132" s="18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</row>
    <row r="133" spans="1:43" ht="16.5" x14ac:dyDescent="0.3">
      <c r="A133" s="26" t="s">
        <v>22</v>
      </c>
      <c r="B133" s="27">
        <v>541</v>
      </c>
      <c r="C133" s="27" t="s">
        <v>26</v>
      </c>
      <c r="D133" s="27" t="s">
        <v>283</v>
      </c>
      <c r="E133" s="27" t="s">
        <v>284</v>
      </c>
      <c r="F133" s="28">
        <v>25214.32</v>
      </c>
      <c r="G133" s="28">
        <v>24787.7</v>
      </c>
      <c r="H133" s="28">
        <v>37454.61</v>
      </c>
      <c r="I133" s="28">
        <v>26150.75</v>
      </c>
      <c r="J133" s="28">
        <v>37930</v>
      </c>
      <c r="K133" s="18">
        <v>38601.9</v>
      </c>
      <c r="L133" s="18">
        <v>0.1</v>
      </c>
      <c r="M133" s="19">
        <f t="shared" si="0"/>
        <v>38602</v>
      </c>
      <c r="N133" s="20"/>
      <c r="O133" s="20"/>
      <c r="P133" s="21">
        <f t="shared" si="22"/>
        <v>38602</v>
      </c>
      <c r="Q133" s="21">
        <f t="shared" si="2"/>
        <v>672</v>
      </c>
      <c r="R133" s="22">
        <f t="shared" si="3"/>
        <v>1.7716846823095177E-2</v>
      </c>
      <c r="S133" s="23"/>
      <c r="T133" s="23"/>
      <c r="U133" s="181"/>
      <c r="V133" s="182"/>
      <c r="W133" s="182"/>
      <c r="X133" s="182"/>
      <c r="Y133" s="182"/>
      <c r="Z133" s="182"/>
      <c r="AA133" s="182"/>
      <c r="AB133" s="18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</row>
    <row r="134" spans="1:43" ht="16.5" x14ac:dyDescent="0.3">
      <c r="A134" s="26" t="s">
        <v>22</v>
      </c>
      <c r="B134" s="27">
        <v>541</v>
      </c>
      <c r="C134" s="27" t="s">
        <v>26</v>
      </c>
      <c r="D134" s="27" t="s">
        <v>285</v>
      </c>
      <c r="E134" s="27" t="s">
        <v>286</v>
      </c>
      <c r="F134" s="28">
        <v>6444</v>
      </c>
      <c r="G134" s="28">
        <v>6444</v>
      </c>
      <c r="H134" s="28">
        <v>6444</v>
      </c>
      <c r="I134" s="28">
        <v>0</v>
      </c>
      <c r="J134" s="28">
        <v>0</v>
      </c>
      <c r="K134" s="18">
        <v>0</v>
      </c>
      <c r="L134" s="18"/>
      <c r="M134" s="19">
        <f t="shared" si="0"/>
        <v>0</v>
      </c>
      <c r="N134" s="20"/>
      <c r="O134" s="20">
        <v>0</v>
      </c>
      <c r="P134" s="21">
        <f t="shared" ref="P134:P136" si="23">+M134+N134+O134</f>
        <v>0</v>
      </c>
      <c r="Q134" s="21">
        <f t="shared" si="2"/>
        <v>0</v>
      </c>
      <c r="R134" s="22" t="e">
        <f t="shared" si="3"/>
        <v>#DIV/0!</v>
      </c>
      <c r="S134" s="23"/>
      <c r="T134" s="23"/>
      <c r="U134" s="181"/>
      <c r="V134" s="182"/>
      <c r="W134" s="182"/>
      <c r="X134" s="182"/>
      <c r="Y134" s="182"/>
      <c r="Z134" s="182"/>
      <c r="AA134" s="182"/>
      <c r="AB134" s="18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</row>
    <row r="135" spans="1:43" ht="16.5" x14ac:dyDescent="0.3">
      <c r="A135" s="26" t="s">
        <v>22</v>
      </c>
      <c r="B135" s="27">
        <v>541</v>
      </c>
      <c r="C135" s="27" t="s">
        <v>23</v>
      </c>
      <c r="D135" s="27" t="s">
        <v>287</v>
      </c>
      <c r="E135" s="27" t="s">
        <v>288</v>
      </c>
      <c r="F135" s="28">
        <v>6631.39</v>
      </c>
      <c r="G135" s="28">
        <v>13625.21</v>
      </c>
      <c r="H135" s="28">
        <v>6947.31</v>
      </c>
      <c r="I135" s="28">
        <v>6521.73</v>
      </c>
      <c r="J135" s="28">
        <v>16500</v>
      </c>
      <c r="K135" s="18">
        <v>16500</v>
      </c>
      <c r="L135" s="18"/>
      <c r="M135" s="19">
        <f t="shared" si="0"/>
        <v>16500</v>
      </c>
      <c r="N135" s="20"/>
      <c r="O135" s="20">
        <v>0</v>
      </c>
      <c r="P135" s="21">
        <f t="shared" si="23"/>
        <v>16500</v>
      </c>
      <c r="Q135" s="21">
        <f t="shared" si="2"/>
        <v>0</v>
      </c>
      <c r="R135" s="22">
        <f t="shared" si="3"/>
        <v>0</v>
      </c>
      <c r="S135" s="23"/>
      <c r="T135" s="23"/>
      <c r="U135" s="181"/>
      <c r="V135" s="182"/>
      <c r="W135" s="182"/>
      <c r="X135" s="182"/>
      <c r="Y135" s="182"/>
      <c r="Z135" s="182"/>
      <c r="AA135" s="182"/>
      <c r="AB135" s="18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</row>
    <row r="136" spans="1:43" ht="16.5" x14ac:dyDescent="0.3">
      <c r="A136" s="26" t="s">
        <v>22</v>
      </c>
      <c r="B136" s="27">
        <v>541</v>
      </c>
      <c r="C136" s="27" t="s">
        <v>23</v>
      </c>
      <c r="D136" s="27" t="s">
        <v>289</v>
      </c>
      <c r="E136" s="27" t="s">
        <v>290</v>
      </c>
      <c r="F136" s="28">
        <v>0</v>
      </c>
      <c r="G136" s="28">
        <v>2647.01</v>
      </c>
      <c r="H136" s="28">
        <v>4239.1000000000004</v>
      </c>
      <c r="I136" s="28">
        <v>3060.49</v>
      </c>
      <c r="J136" s="28">
        <v>4000</v>
      </c>
      <c r="K136" s="50">
        <v>4000</v>
      </c>
      <c r="L136" s="18"/>
      <c r="M136" s="19">
        <f t="shared" si="0"/>
        <v>4000</v>
      </c>
      <c r="N136" s="20"/>
      <c r="O136" s="20">
        <v>0</v>
      </c>
      <c r="P136" s="21">
        <f t="shared" si="23"/>
        <v>4000</v>
      </c>
      <c r="Q136" s="21">
        <f t="shared" si="2"/>
        <v>0</v>
      </c>
      <c r="R136" s="22">
        <f t="shared" si="3"/>
        <v>0</v>
      </c>
      <c r="S136" s="23"/>
      <c r="T136" s="23"/>
      <c r="U136" s="181"/>
      <c r="V136" s="182"/>
      <c r="W136" s="182"/>
      <c r="X136" s="182"/>
      <c r="Y136" s="182"/>
      <c r="Z136" s="182"/>
      <c r="AA136" s="182"/>
      <c r="AB136" s="18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</row>
    <row r="137" spans="1:43" ht="16.5" x14ac:dyDescent="0.3">
      <c r="A137" s="26" t="s">
        <v>22</v>
      </c>
      <c r="B137" s="27">
        <v>543</v>
      </c>
      <c r="C137" s="27" t="s">
        <v>26</v>
      </c>
      <c r="D137" s="27" t="s">
        <v>291</v>
      </c>
      <c r="E137" s="27" t="s">
        <v>292</v>
      </c>
      <c r="F137" s="28">
        <v>9607.11</v>
      </c>
      <c r="G137" s="28">
        <v>8259.68</v>
      </c>
      <c r="H137" s="28">
        <v>9995.24</v>
      </c>
      <c r="I137" s="28">
        <v>9803</v>
      </c>
      <c r="J137" s="28">
        <f>10195+204</f>
        <v>10399</v>
      </c>
      <c r="K137" s="51">
        <v>9798.99</v>
      </c>
      <c r="L137" s="39">
        <f>10400-K137</f>
        <v>601.01000000000022</v>
      </c>
      <c r="M137" s="19">
        <f t="shared" si="0"/>
        <v>10400</v>
      </c>
      <c r="N137" s="20"/>
      <c r="O137" s="20">
        <v>0</v>
      </c>
      <c r="P137" s="21">
        <f>ROUND(+M137+N137+O137,0)</f>
        <v>10400</v>
      </c>
      <c r="Q137" s="21">
        <f t="shared" si="2"/>
        <v>1</v>
      </c>
      <c r="R137" s="22">
        <f t="shared" si="3"/>
        <v>9.6163092605058178E-5</v>
      </c>
      <c r="S137" s="23"/>
      <c r="T137" s="23"/>
      <c r="U137" s="181"/>
      <c r="V137" s="182"/>
      <c r="W137" s="182"/>
      <c r="X137" s="182"/>
      <c r="Y137" s="182"/>
      <c r="Z137" s="182"/>
      <c r="AA137" s="182"/>
      <c r="AB137" s="18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</row>
    <row r="138" spans="1:43" ht="16.5" x14ac:dyDescent="0.3">
      <c r="A138" s="26" t="s">
        <v>22</v>
      </c>
      <c r="B138" s="27">
        <v>543</v>
      </c>
      <c r="C138" s="27" t="s">
        <v>23</v>
      </c>
      <c r="D138" s="27" t="s">
        <v>293</v>
      </c>
      <c r="E138" s="27" t="s">
        <v>294</v>
      </c>
      <c r="F138" s="28">
        <v>629.44000000000005</v>
      </c>
      <c r="G138" s="28">
        <v>574.32000000000005</v>
      </c>
      <c r="H138" s="28">
        <v>825.12</v>
      </c>
      <c r="I138" s="28">
        <v>2055.09</v>
      </c>
      <c r="J138" s="28">
        <v>1500</v>
      </c>
      <c r="K138" s="51">
        <v>850</v>
      </c>
      <c r="L138" s="39">
        <v>0</v>
      </c>
      <c r="M138" s="19">
        <f t="shared" si="0"/>
        <v>850</v>
      </c>
      <c r="N138" s="20"/>
      <c r="O138" s="20">
        <v>0</v>
      </c>
      <c r="P138" s="21">
        <f t="shared" ref="P138:P139" si="24">+M138+N138+O138</f>
        <v>850</v>
      </c>
      <c r="Q138" s="21">
        <f t="shared" si="2"/>
        <v>-650</v>
      </c>
      <c r="R138" s="22">
        <f t="shared" si="3"/>
        <v>-0.43333333333333335</v>
      </c>
      <c r="S138" s="23"/>
      <c r="T138" s="23"/>
      <c r="U138" s="181"/>
      <c r="V138" s="182"/>
      <c r="W138" s="182"/>
      <c r="X138" s="182"/>
      <c r="Y138" s="182"/>
      <c r="Z138" s="182"/>
      <c r="AA138" s="182"/>
      <c r="AB138" s="18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</row>
    <row r="139" spans="1:43" ht="16.5" x14ac:dyDescent="0.3">
      <c r="A139" s="26" t="s">
        <v>22</v>
      </c>
      <c r="B139" s="27">
        <v>543</v>
      </c>
      <c r="C139" s="27" t="s">
        <v>23</v>
      </c>
      <c r="D139" s="27" t="s">
        <v>295</v>
      </c>
      <c r="E139" s="27" t="s">
        <v>296</v>
      </c>
      <c r="F139" s="28">
        <v>83567.679999999993</v>
      </c>
      <c r="G139" s="28">
        <v>69916.91</v>
      </c>
      <c r="H139" s="28">
        <v>31148.09</v>
      </c>
      <c r="I139" s="28">
        <v>30942.720000000001</v>
      </c>
      <c r="J139" s="28">
        <v>60000</v>
      </c>
      <c r="K139" s="51">
        <v>80000</v>
      </c>
      <c r="L139" s="39">
        <v>0</v>
      </c>
      <c r="M139" s="19">
        <f t="shared" si="0"/>
        <v>80000</v>
      </c>
      <c r="N139" s="30">
        <v>-40000</v>
      </c>
      <c r="O139" s="20"/>
      <c r="P139" s="21">
        <f t="shared" si="24"/>
        <v>40000</v>
      </c>
      <c r="Q139" s="21">
        <f t="shared" si="2"/>
        <v>-20000</v>
      </c>
      <c r="R139" s="22">
        <f t="shared" si="3"/>
        <v>-0.33333333333333331</v>
      </c>
      <c r="S139" s="23"/>
      <c r="T139" s="23"/>
      <c r="U139" s="181"/>
      <c r="V139" s="182"/>
      <c r="W139" s="182"/>
      <c r="X139" s="182"/>
      <c r="Y139" s="182"/>
      <c r="Z139" s="182"/>
      <c r="AA139" s="182"/>
      <c r="AB139" s="18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</row>
    <row r="140" spans="1:43" ht="16.5" x14ac:dyDescent="0.3">
      <c r="A140" s="26" t="s">
        <v>22</v>
      </c>
      <c r="B140" s="27">
        <v>610</v>
      </c>
      <c r="C140" s="27" t="s">
        <v>26</v>
      </c>
      <c r="D140" s="27" t="s">
        <v>297</v>
      </c>
      <c r="E140" s="27" t="s">
        <v>298</v>
      </c>
      <c r="F140" s="32">
        <v>60180</v>
      </c>
      <c r="G140" s="32">
        <v>61383.6</v>
      </c>
      <c r="H140" s="28">
        <v>66383</v>
      </c>
      <c r="I140" s="28">
        <v>67710.759999999995</v>
      </c>
      <c r="J140" s="28">
        <v>73000</v>
      </c>
      <c r="K140" s="50">
        <v>74460</v>
      </c>
      <c r="L140" s="39">
        <v>0</v>
      </c>
      <c r="M140" s="19">
        <f t="shared" si="0"/>
        <v>74460</v>
      </c>
      <c r="N140" s="20"/>
      <c r="O140" s="20"/>
      <c r="P140" s="21">
        <f t="shared" ref="P140:P142" si="25">ROUND(+M140+N140+O140,0)</f>
        <v>74460</v>
      </c>
      <c r="Q140" s="21">
        <f t="shared" si="2"/>
        <v>1460</v>
      </c>
      <c r="R140" s="22">
        <f t="shared" si="3"/>
        <v>0.02</v>
      </c>
      <c r="S140" s="23"/>
      <c r="T140" s="23"/>
      <c r="U140" s="181"/>
      <c r="V140" s="182"/>
      <c r="W140" s="182"/>
      <c r="X140" s="182"/>
      <c r="Y140" s="182"/>
      <c r="Z140" s="182"/>
      <c r="AA140" s="182"/>
      <c r="AB140" s="18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</row>
    <row r="141" spans="1:43" ht="16.5" x14ac:dyDescent="0.3">
      <c r="A141" s="26" t="s">
        <v>22</v>
      </c>
      <c r="B141" s="27">
        <v>610</v>
      </c>
      <c r="C141" s="27" t="s">
        <v>26</v>
      </c>
      <c r="D141" s="27" t="s">
        <v>299</v>
      </c>
      <c r="E141" s="27" t="s">
        <v>300</v>
      </c>
      <c r="F141" s="32"/>
      <c r="G141" s="32"/>
      <c r="H141" s="28"/>
      <c r="I141" s="28">
        <v>59012.47</v>
      </c>
      <c r="J141" s="28">
        <v>101052</v>
      </c>
      <c r="K141" s="50">
        <v>101198</v>
      </c>
      <c r="L141" s="37">
        <v>1580.56</v>
      </c>
      <c r="M141" s="19">
        <f t="shared" si="0"/>
        <v>102778.56</v>
      </c>
      <c r="N141" s="20"/>
      <c r="O141" s="20"/>
      <c r="P141" s="21">
        <f t="shared" si="25"/>
        <v>102779</v>
      </c>
      <c r="Q141" s="21">
        <f t="shared" si="2"/>
        <v>1727</v>
      </c>
      <c r="R141" s="22">
        <f t="shared" si="3"/>
        <v>1.7090210980485295E-2</v>
      </c>
      <c r="S141" s="23"/>
      <c r="T141" s="23"/>
      <c r="U141" s="41"/>
      <c r="V141" s="42"/>
      <c r="W141" s="42"/>
      <c r="X141" s="42"/>
      <c r="Y141" s="42"/>
      <c r="Z141" s="42"/>
      <c r="AA141" s="42"/>
      <c r="AB141" s="4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</row>
    <row r="142" spans="1:43" ht="16.5" x14ac:dyDescent="0.3">
      <c r="A142" s="26" t="s">
        <v>22</v>
      </c>
      <c r="B142" s="27">
        <v>610</v>
      </c>
      <c r="C142" s="27" t="s">
        <v>26</v>
      </c>
      <c r="D142" s="27" t="s">
        <v>301</v>
      </c>
      <c r="E142" s="27" t="s">
        <v>302</v>
      </c>
      <c r="F142" s="32">
        <v>174865.95</v>
      </c>
      <c r="G142" s="32">
        <v>200398.81</v>
      </c>
      <c r="H142" s="28">
        <v>187499.77</v>
      </c>
      <c r="I142" s="28">
        <v>168299.95</v>
      </c>
      <c r="J142" s="28">
        <v>182003</v>
      </c>
      <c r="K142" s="50">
        <v>181732</v>
      </c>
      <c r="L142" s="17">
        <v>271</v>
      </c>
      <c r="M142" s="19">
        <f t="shared" si="0"/>
        <v>182003</v>
      </c>
      <c r="N142" s="20"/>
      <c r="O142" s="20"/>
      <c r="P142" s="21">
        <f t="shared" si="25"/>
        <v>182003</v>
      </c>
      <c r="Q142" s="21">
        <f t="shared" si="2"/>
        <v>0</v>
      </c>
      <c r="R142" s="22">
        <f t="shared" si="3"/>
        <v>0</v>
      </c>
      <c r="S142" s="23"/>
      <c r="T142" s="23"/>
      <c r="U142" s="181"/>
      <c r="V142" s="182"/>
      <c r="W142" s="182"/>
      <c r="X142" s="182"/>
      <c r="Y142" s="182"/>
      <c r="Z142" s="182"/>
      <c r="AA142" s="182"/>
      <c r="AB142" s="18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</row>
    <row r="143" spans="1:43" ht="16.5" x14ac:dyDescent="0.3">
      <c r="A143" s="26" t="s">
        <v>22</v>
      </c>
      <c r="B143" s="27">
        <v>610</v>
      </c>
      <c r="C143" s="27" t="s">
        <v>26</v>
      </c>
      <c r="D143" s="27" t="s">
        <v>303</v>
      </c>
      <c r="E143" s="27" t="s">
        <v>304</v>
      </c>
      <c r="F143" s="32">
        <v>8705.35</v>
      </c>
      <c r="G143" s="32">
        <v>0</v>
      </c>
      <c r="H143" s="28">
        <v>0</v>
      </c>
      <c r="I143" s="28">
        <v>0</v>
      </c>
      <c r="J143" s="28">
        <v>0</v>
      </c>
      <c r="K143" s="50">
        <v>0</v>
      </c>
      <c r="L143" s="17">
        <v>0</v>
      </c>
      <c r="M143" s="19">
        <f t="shared" si="0"/>
        <v>0</v>
      </c>
      <c r="N143" s="20"/>
      <c r="O143" s="20"/>
      <c r="P143" s="21">
        <f t="shared" ref="P143:P149" si="26">+M143+N143+O143</f>
        <v>0</v>
      </c>
      <c r="Q143" s="21">
        <f t="shared" si="2"/>
        <v>0</v>
      </c>
      <c r="R143" s="22" t="e">
        <f t="shared" si="3"/>
        <v>#DIV/0!</v>
      </c>
      <c r="S143" s="23"/>
      <c r="T143" s="23"/>
      <c r="U143" s="181"/>
      <c r="V143" s="182"/>
      <c r="W143" s="182"/>
      <c r="X143" s="182"/>
      <c r="Y143" s="182"/>
      <c r="Z143" s="182"/>
      <c r="AA143" s="182"/>
      <c r="AB143" s="18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</row>
    <row r="144" spans="1:43" ht="16.5" x14ac:dyDescent="0.3">
      <c r="A144" s="26" t="s">
        <v>22</v>
      </c>
      <c r="B144" s="27">
        <v>610</v>
      </c>
      <c r="C144" s="27" t="s">
        <v>23</v>
      </c>
      <c r="D144" s="27" t="s">
        <v>305</v>
      </c>
      <c r="E144" s="27" t="s">
        <v>306</v>
      </c>
      <c r="F144" s="32">
        <v>48216.59</v>
      </c>
      <c r="G144" s="32">
        <v>55942.17</v>
      </c>
      <c r="H144" s="28">
        <v>46219.71</v>
      </c>
      <c r="I144" s="28">
        <v>43685.57</v>
      </c>
      <c r="J144" s="28">
        <v>44504</v>
      </c>
      <c r="K144" s="50">
        <v>44504</v>
      </c>
      <c r="L144" s="17">
        <v>496</v>
      </c>
      <c r="M144" s="19">
        <f t="shared" si="0"/>
        <v>45000</v>
      </c>
      <c r="N144" s="20"/>
      <c r="O144" s="20"/>
      <c r="P144" s="21">
        <f t="shared" si="26"/>
        <v>45000</v>
      </c>
      <c r="Q144" s="21">
        <f t="shared" si="2"/>
        <v>496</v>
      </c>
      <c r="R144" s="22">
        <f t="shared" si="3"/>
        <v>1.1145065612079813E-2</v>
      </c>
      <c r="S144" s="23"/>
      <c r="T144" s="23"/>
      <c r="U144" s="181"/>
      <c r="V144" s="182"/>
      <c r="W144" s="182"/>
      <c r="X144" s="182"/>
      <c r="Y144" s="182"/>
      <c r="Z144" s="182"/>
      <c r="AA144" s="182"/>
      <c r="AB144" s="18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</row>
    <row r="145" spans="1:43" ht="16.5" x14ac:dyDescent="0.3">
      <c r="A145" s="26" t="s">
        <v>22</v>
      </c>
      <c r="B145" s="27">
        <v>610</v>
      </c>
      <c r="C145" s="27" t="s">
        <v>23</v>
      </c>
      <c r="D145" s="27" t="s">
        <v>307</v>
      </c>
      <c r="E145" s="27" t="s">
        <v>308</v>
      </c>
      <c r="F145" s="32">
        <v>44991.35</v>
      </c>
      <c r="G145" s="32">
        <v>68603.7</v>
      </c>
      <c r="H145" s="28">
        <v>66976.03</v>
      </c>
      <c r="I145" s="28">
        <v>58470.91</v>
      </c>
      <c r="J145" s="28">
        <v>71500</v>
      </c>
      <c r="K145" s="50">
        <v>73500</v>
      </c>
      <c r="L145" s="17"/>
      <c r="M145" s="19">
        <f t="shared" si="0"/>
        <v>73500</v>
      </c>
      <c r="N145" s="20"/>
      <c r="O145" s="36"/>
      <c r="P145" s="21">
        <f t="shared" si="26"/>
        <v>73500</v>
      </c>
      <c r="Q145" s="21">
        <f t="shared" si="2"/>
        <v>2000</v>
      </c>
      <c r="R145" s="22">
        <f t="shared" si="3"/>
        <v>2.7972027972027972E-2</v>
      </c>
      <c r="S145" s="23"/>
      <c r="T145" s="23"/>
      <c r="U145" s="181"/>
      <c r="V145" s="182"/>
      <c r="W145" s="182"/>
      <c r="X145" s="182"/>
      <c r="Y145" s="182"/>
      <c r="Z145" s="182"/>
      <c r="AA145" s="182"/>
      <c r="AB145" s="18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</row>
    <row r="146" spans="1:43" ht="16.5" x14ac:dyDescent="0.3">
      <c r="A146" s="26" t="s">
        <v>22</v>
      </c>
      <c r="B146" s="27">
        <v>610</v>
      </c>
      <c r="C146" s="27" t="s">
        <v>23</v>
      </c>
      <c r="D146" s="27" t="s">
        <v>309</v>
      </c>
      <c r="E146" s="27" t="s">
        <v>310</v>
      </c>
      <c r="F146" s="32">
        <v>22189</v>
      </c>
      <c r="G146" s="32">
        <v>24269.01</v>
      </c>
      <c r="H146" s="28">
        <v>24058.85</v>
      </c>
      <c r="I146" s="28">
        <v>24619.94</v>
      </c>
      <c r="J146" s="28">
        <v>25000</v>
      </c>
      <c r="K146" s="50">
        <v>25000</v>
      </c>
      <c r="L146" s="17"/>
      <c r="M146" s="19">
        <f t="shared" si="0"/>
        <v>25000</v>
      </c>
      <c r="N146" s="20"/>
      <c r="O146" s="20"/>
      <c r="P146" s="21">
        <f t="shared" si="26"/>
        <v>25000</v>
      </c>
      <c r="Q146" s="21">
        <f t="shared" si="2"/>
        <v>0</v>
      </c>
      <c r="R146" s="22">
        <f t="shared" si="3"/>
        <v>0</v>
      </c>
      <c r="S146" s="23"/>
      <c r="T146" s="23"/>
      <c r="U146" s="181"/>
      <c r="V146" s="182"/>
      <c r="W146" s="182"/>
      <c r="X146" s="182"/>
      <c r="Y146" s="182"/>
      <c r="Z146" s="182"/>
      <c r="AA146" s="182"/>
      <c r="AB146" s="18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</row>
    <row r="147" spans="1:43" ht="16.5" x14ac:dyDescent="0.3">
      <c r="A147" s="26" t="s">
        <v>22</v>
      </c>
      <c r="B147" s="27">
        <v>691</v>
      </c>
      <c r="C147" s="27" t="s">
        <v>23</v>
      </c>
      <c r="D147" s="27" t="s">
        <v>311</v>
      </c>
      <c r="E147" s="27" t="s">
        <v>312</v>
      </c>
      <c r="F147" s="28">
        <v>500</v>
      </c>
      <c r="G147" s="28">
        <v>62</v>
      </c>
      <c r="H147" s="28">
        <v>0</v>
      </c>
      <c r="I147" s="28">
        <v>0</v>
      </c>
      <c r="J147" s="28">
        <v>100</v>
      </c>
      <c r="K147" s="17">
        <v>0</v>
      </c>
      <c r="L147" s="17">
        <v>100</v>
      </c>
      <c r="M147" s="19">
        <f t="shared" si="0"/>
        <v>100</v>
      </c>
      <c r="N147" s="20"/>
      <c r="O147" s="20"/>
      <c r="P147" s="21">
        <f t="shared" si="26"/>
        <v>100</v>
      </c>
      <c r="Q147" s="21">
        <f t="shared" si="2"/>
        <v>0</v>
      </c>
      <c r="R147" s="22">
        <f t="shared" si="3"/>
        <v>0</v>
      </c>
      <c r="S147" s="23"/>
      <c r="T147" s="23"/>
      <c r="U147" s="181"/>
      <c r="V147" s="182"/>
      <c r="W147" s="182"/>
      <c r="X147" s="182"/>
      <c r="Y147" s="182"/>
      <c r="Z147" s="182"/>
      <c r="AA147" s="182"/>
      <c r="AB147" s="18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</row>
    <row r="148" spans="1:43" ht="16.5" x14ac:dyDescent="0.3">
      <c r="A148" s="26" t="s">
        <v>22</v>
      </c>
      <c r="B148" s="27">
        <v>710</v>
      </c>
      <c r="C148" s="27" t="s">
        <v>23</v>
      </c>
      <c r="D148" s="27" t="s">
        <v>313</v>
      </c>
      <c r="E148" s="27" t="s">
        <v>314</v>
      </c>
      <c r="F148" s="28">
        <v>1764118</v>
      </c>
      <c r="G148" s="28">
        <v>1764118</v>
      </c>
      <c r="H148" s="28">
        <v>1765118</v>
      </c>
      <c r="I148" s="28">
        <v>1762118</v>
      </c>
      <c r="J148" s="28">
        <v>1966000</v>
      </c>
      <c r="K148" s="39">
        <v>1965000</v>
      </c>
      <c r="L148" s="39"/>
      <c r="M148" s="19">
        <f t="shared" si="0"/>
        <v>1965000</v>
      </c>
      <c r="N148" s="20"/>
      <c r="O148" s="20"/>
      <c r="P148" s="21">
        <f t="shared" si="26"/>
        <v>1965000</v>
      </c>
      <c r="Q148" s="21">
        <f t="shared" si="2"/>
        <v>-1000</v>
      </c>
      <c r="R148" s="22">
        <f t="shared" si="3"/>
        <v>-5.0864699898270599E-4</v>
      </c>
      <c r="S148" s="23"/>
      <c r="T148" s="23"/>
      <c r="U148" s="181"/>
      <c r="V148" s="182"/>
      <c r="W148" s="182"/>
      <c r="X148" s="182"/>
      <c r="Y148" s="182"/>
      <c r="Z148" s="182"/>
      <c r="AA148" s="182"/>
      <c r="AB148" s="18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</row>
    <row r="149" spans="1:43" ht="16.5" x14ac:dyDescent="0.3">
      <c r="A149" s="26" t="s">
        <v>22</v>
      </c>
      <c r="B149" s="27">
        <v>710</v>
      </c>
      <c r="C149" s="27" t="s">
        <v>23</v>
      </c>
      <c r="D149" s="27" t="s">
        <v>315</v>
      </c>
      <c r="E149" s="27" t="s">
        <v>316</v>
      </c>
      <c r="F149" s="28">
        <v>583000</v>
      </c>
      <c r="G149" s="28">
        <v>583000</v>
      </c>
      <c r="H149" s="28">
        <v>582000</v>
      </c>
      <c r="I149" s="28">
        <v>580000</v>
      </c>
      <c r="J149" s="28">
        <v>580000</v>
      </c>
      <c r="K149" s="39">
        <v>571875</v>
      </c>
      <c r="L149" s="39"/>
      <c r="M149" s="19">
        <f t="shared" si="0"/>
        <v>571875</v>
      </c>
      <c r="N149" s="20"/>
      <c r="O149" s="20"/>
      <c r="P149" s="21">
        <f t="shared" si="26"/>
        <v>571875</v>
      </c>
      <c r="Q149" s="21">
        <f t="shared" si="2"/>
        <v>-8125</v>
      </c>
      <c r="R149" s="22">
        <f t="shared" si="3"/>
        <v>-1.4008620689655173E-2</v>
      </c>
      <c r="S149" s="23"/>
      <c r="T149" s="23"/>
      <c r="U149" s="181"/>
      <c r="V149" s="182"/>
      <c r="W149" s="182"/>
      <c r="X149" s="182"/>
      <c r="Y149" s="182"/>
      <c r="Z149" s="182"/>
      <c r="AA149" s="182"/>
      <c r="AB149" s="18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</row>
    <row r="150" spans="1:43" ht="16.5" x14ac:dyDescent="0.3">
      <c r="A150" s="26" t="s">
        <v>22</v>
      </c>
      <c r="B150" s="27">
        <v>710</v>
      </c>
      <c r="C150" s="27" t="s">
        <v>23</v>
      </c>
      <c r="D150" s="27" t="s">
        <v>317</v>
      </c>
      <c r="E150" s="27" t="s">
        <v>318</v>
      </c>
      <c r="F150" s="28">
        <v>430311.01</v>
      </c>
      <c r="G150" s="28">
        <v>439004.69</v>
      </c>
      <c r="H150" s="28">
        <v>447873.87</v>
      </c>
      <c r="I150" s="28">
        <v>456922.48</v>
      </c>
      <c r="J150" s="28">
        <v>466154</v>
      </c>
      <c r="K150" s="18">
        <v>475571.23</v>
      </c>
      <c r="L150" s="39">
        <v>0.77</v>
      </c>
      <c r="M150" s="19">
        <f t="shared" si="0"/>
        <v>475572</v>
      </c>
      <c r="N150" s="20"/>
      <c r="O150" s="20"/>
      <c r="P150" s="21">
        <f>ROUND(+M150+N150+O150,0)</f>
        <v>475572</v>
      </c>
      <c r="Q150" s="21">
        <f t="shared" si="2"/>
        <v>9418</v>
      </c>
      <c r="R150" s="22">
        <f t="shared" si="3"/>
        <v>2.0203623695173697E-2</v>
      </c>
      <c r="S150" s="23"/>
      <c r="T150" s="23"/>
      <c r="U150" s="181"/>
      <c r="V150" s="182"/>
      <c r="W150" s="182"/>
      <c r="X150" s="182"/>
      <c r="Y150" s="182"/>
      <c r="Z150" s="182"/>
      <c r="AA150" s="182"/>
      <c r="AB150" s="18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</row>
    <row r="151" spans="1:43" ht="16.5" x14ac:dyDescent="0.3">
      <c r="A151" s="26" t="s">
        <v>22</v>
      </c>
      <c r="B151" s="27">
        <v>751</v>
      </c>
      <c r="C151" s="27" t="s">
        <v>23</v>
      </c>
      <c r="D151" s="27" t="s">
        <v>319</v>
      </c>
      <c r="E151" s="27" t="s">
        <v>320</v>
      </c>
      <c r="F151" s="28">
        <v>1482050</v>
      </c>
      <c r="G151" s="28">
        <v>1393950</v>
      </c>
      <c r="H151" s="28">
        <v>1305850</v>
      </c>
      <c r="I151" s="28">
        <v>1217700</v>
      </c>
      <c r="J151" s="28">
        <v>1229778</v>
      </c>
      <c r="K151" s="39">
        <v>1132887.5</v>
      </c>
      <c r="L151" s="39">
        <v>0.5</v>
      </c>
      <c r="M151" s="19">
        <f t="shared" si="0"/>
        <v>1132888</v>
      </c>
      <c r="N151" s="20"/>
      <c r="O151" s="20"/>
      <c r="P151" s="21">
        <f>+M151+N151+O151</f>
        <v>1132888</v>
      </c>
      <c r="Q151" s="21">
        <f t="shared" si="2"/>
        <v>-96890</v>
      </c>
      <c r="R151" s="22">
        <f t="shared" si="3"/>
        <v>-7.8786577740047395E-2</v>
      </c>
      <c r="S151" s="23"/>
      <c r="T151" s="23"/>
      <c r="U151" s="181"/>
      <c r="V151" s="182"/>
      <c r="W151" s="182"/>
      <c r="X151" s="182"/>
      <c r="Y151" s="182"/>
      <c r="Z151" s="182"/>
      <c r="AA151" s="182"/>
      <c r="AB151" s="18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</row>
    <row r="152" spans="1:43" ht="16.5" x14ac:dyDescent="0.3">
      <c r="A152" s="26" t="s">
        <v>22</v>
      </c>
      <c r="B152" s="27">
        <v>751</v>
      </c>
      <c r="C152" s="27" t="s">
        <v>23</v>
      </c>
      <c r="D152" s="27" t="s">
        <v>321</v>
      </c>
      <c r="E152" s="27" t="s">
        <v>322</v>
      </c>
      <c r="F152" s="28">
        <v>120533.6</v>
      </c>
      <c r="G152" s="28">
        <v>101133.6</v>
      </c>
      <c r="H152" s="28">
        <v>81733.600000000006</v>
      </c>
      <c r="I152" s="28">
        <v>62383.6</v>
      </c>
      <c r="J152" s="28">
        <v>43134</v>
      </c>
      <c r="K152" s="39">
        <v>23766.799999999999</v>
      </c>
      <c r="L152" s="39">
        <v>0.2</v>
      </c>
      <c r="M152" s="19">
        <f t="shared" si="0"/>
        <v>23767</v>
      </c>
      <c r="N152" s="20"/>
      <c r="O152" s="20"/>
      <c r="P152" s="21">
        <f t="shared" ref="P152:P153" si="27">ROUND(+M152+N152+O152,0)</f>
        <v>23767</v>
      </c>
      <c r="Q152" s="21">
        <f t="shared" si="2"/>
        <v>-19367</v>
      </c>
      <c r="R152" s="22">
        <f t="shared" si="3"/>
        <v>-0.44899615152779709</v>
      </c>
      <c r="S152" s="23"/>
      <c r="T152" s="23"/>
      <c r="U152" s="181"/>
      <c r="V152" s="182"/>
      <c r="W152" s="182"/>
      <c r="X152" s="182"/>
      <c r="Y152" s="182"/>
      <c r="Z152" s="182"/>
      <c r="AA152" s="182"/>
      <c r="AB152" s="18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</row>
    <row r="153" spans="1:43" ht="16.5" x14ac:dyDescent="0.3">
      <c r="A153" s="26" t="s">
        <v>22</v>
      </c>
      <c r="B153" s="27">
        <v>751</v>
      </c>
      <c r="C153" s="27" t="s">
        <v>23</v>
      </c>
      <c r="D153" s="27" t="s">
        <v>323</v>
      </c>
      <c r="E153" s="27" t="s">
        <v>324</v>
      </c>
      <c r="F153" s="28">
        <v>102499.7</v>
      </c>
      <c r="G153" s="28">
        <v>93806.55</v>
      </c>
      <c r="H153" s="28">
        <v>84937.76</v>
      </c>
      <c r="I153" s="28">
        <v>75889.8</v>
      </c>
      <c r="J153" s="28">
        <v>66660</v>
      </c>
      <c r="K153" s="18">
        <v>57241.79</v>
      </c>
      <c r="L153" s="39">
        <v>0.21</v>
      </c>
      <c r="M153" s="19">
        <f t="shared" si="0"/>
        <v>57242</v>
      </c>
      <c r="N153" s="20"/>
      <c r="O153" s="20"/>
      <c r="P153" s="21">
        <f t="shared" si="27"/>
        <v>57242</v>
      </c>
      <c r="Q153" s="21">
        <f t="shared" si="2"/>
        <v>-9418</v>
      </c>
      <c r="R153" s="22">
        <f t="shared" si="3"/>
        <v>-0.1412841284128413</v>
      </c>
      <c r="S153" s="23"/>
      <c r="T153" s="23"/>
      <c r="U153" s="181"/>
      <c r="V153" s="182"/>
      <c r="W153" s="182"/>
      <c r="X153" s="182"/>
      <c r="Y153" s="182"/>
      <c r="Z153" s="182"/>
      <c r="AA153" s="182"/>
      <c r="AB153" s="18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</row>
    <row r="154" spans="1:43" ht="16.5" x14ac:dyDescent="0.3">
      <c r="A154" s="26" t="s">
        <v>22</v>
      </c>
      <c r="B154" s="27">
        <v>751</v>
      </c>
      <c r="C154" s="27" t="s">
        <v>23</v>
      </c>
      <c r="D154" s="27" t="s">
        <v>325</v>
      </c>
      <c r="E154" s="27" t="s">
        <v>326</v>
      </c>
      <c r="F154" s="28">
        <v>3000</v>
      </c>
      <c r="G154" s="28">
        <v>9535.49</v>
      </c>
      <c r="H154" s="28">
        <v>5903.12</v>
      </c>
      <c r="I154" s="28">
        <v>4617.22</v>
      </c>
      <c r="J154" s="28">
        <v>15000</v>
      </c>
      <c r="K154" s="18">
        <v>15000</v>
      </c>
      <c r="L154" s="39"/>
      <c r="M154" s="19">
        <f t="shared" si="0"/>
        <v>15000</v>
      </c>
      <c r="N154" s="20"/>
      <c r="O154" s="20"/>
      <c r="P154" s="21">
        <f t="shared" ref="P154:P179" si="28">+M154+N154+O154</f>
        <v>15000</v>
      </c>
      <c r="Q154" s="21">
        <f t="shared" si="2"/>
        <v>0</v>
      </c>
      <c r="R154" s="22">
        <f t="shared" si="3"/>
        <v>0</v>
      </c>
      <c r="S154" s="23"/>
      <c r="T154" s="23"/>
      <c r="U154" s="181"/>
      <c r="V154" s="182"/>
      <c r="W154" s="182"/>
      <c r="X154" s="182"/>
      <c r="Y154" s="182"/>
      <c r="Z154" s="182"/>
      <c r="AA154" s="182"/>
      <c r="AB154" s="18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</row>
    <row r="155" spans="1:43" ht="16.5" x14ac:dyDescent="0.3">
      <c r="A155" s="26" t="s">
        <v>22</v>
      </c>
      <c r="B155" s="27">
        <v>751</v>
      </c>
      <c r="C155" s="27" t="s">
        <v>23</v>
      </c>
      <c r="D155" s="27" t="s">
        <v>327</v>
      </c>
      <c r="E155" s="27" t="s">
        <v>328</v>
      </c>
      <c r="F155" s="28">
        <v>7687.47</v>
      </c>
      <c r="G155" s="28">
        <v>0</v>
      </c>
      <c r="H155" s="28">
        <v>3017.22</v>
      </c>
      <c r="I155" s="28">
        <v>2674.53</v>
      </c>
      <c r="J155" s="28">
        <v>0</v>
      </c>
      <c r="K155" s="39">
        <v>0</v>
      </c>
      <c r="L155" s="39"/>
      <c r="M155" s="19">
        <f t="shared" si="0"/>
        <v>0</v>
      </c>
      <c r="N155" s="20"/>
      <c r="O155" s="20"/>
      <c r="P155" s="21">
        <f t="shared" si="28"/>
        <v>0</v>
      </c>
      <c r="Q155" s="21">
        <f t="shared" si="2"/>
        <v>0</v>
      </c>
      <c r="R155" s="22" t="e">
        <f t="shared" si="3"/>
        <v>#DIV/0!</v>
      </c>
      <c r="S155" s="23"/>
      <c r="T155" s="23"/>
      <c r="U155" s="181"/>
      <c r="V155" s="182"/>
      <c r="W155" s="182"/>
      <c r="X155" s="182"/>
      <c r="Y155" s="182"/>
      <c r="Z155" s="182"/>
      <c r="AA155" s="182"/>
      <c r="AB155" s="18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</row>
    <row r="156" spans="1:43" ht="16.5" x14ac:dyDescent="0.3">
      <c r="A156" s="26" t="s">
        <v>22</v>
      </c>
      <c r="B156" s="27">
        <v>752</v>
      </c>
      <c r="C156" s="27" t="s">
        <v>23</v>
      </c>
      <c r="D156" s="27" t="s">
        <v>329</v>
      </c>
      <c r="E156" s="27" t="s">
        <v>330</v>
      </c>
      <c r="F156" s="28">
        <v>354368</v>
      </c>
      <c r="G156" s="28">
        <v>545366</v>
      </c>
      <c r="H156" s="28">
        <v>0</v>
      </c>
      <c r="I156" s="28">
        <v>300000</v>
      </c>
      <c r="J156" s="28">
        <v>0</v>
      </c>
      <c r="K156" s="18">
        <v>62700</v>
      </c>
      <c r="L156" s="39"/>
      <c r="M156" s="19">
        <f t="shared" si="0"/>
        <v>62700</v>
      </c>
      <c r="N156" s="20"/>
      <c r="O156" s="20"/>
      <c r="P156" s="21">
        <f t="shared" si="28"/>
        <v>62700</v>
      </c>
      <c r="Q156" s="21">
        <f t="shared" si="2"/>
        <v>62700</v>
      </c>
      <c r="R156" s="22" t="e">
        <f t="shared" si="3"/>
        <v>#DIV/0!</v>
      </c>
      <c r="S156" s="23"/>
      <c r="T156" s="23"/>
      <c r="U156" s="181"/>
      <c r="V156" s="182"/>
      <c r="W156" s="182"/>
      <c r="X156" s="182"/>
      <c r="Y156" s="182"/>
      <c r="Z156" s="182"/>
      <c r="AA156" s="182"/>
      <c r="AB156" s="18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</row>
    <row r="157" spans="1:43" ht="16.5" x14ac:dyDescent="0.3">
      <c r="A157" s="26" t="s">
        <v>22</v>
      </c>
      <c r="B157" s="27">
        <v>752</v>
      </c>
      <c r="C157" s="27" t="s">
        <v>23</v>
      </c>
      <c r="D157" s="27" t="s">
        <v>331</v>
      </c>
      <c r="E157" s="27" t="s">
        <v>332</v>
      </c>
      <c r="F157" s="28">
        <v>89042.63</v>
      </c>
      <c r="G157" s="28">
        <f>88059+81535.67</f>
        <v>169594.66999999998</v>
      </c>
      <c r="H157" s="28">
        <f>159500+31900</f>
        <v>191400</v>
      </c>
      <c r="I157" s="28">
        <v>121262.22</v>
      </c>
      <c r="J157" s="28">
        <v>31503</v>
      </c>
      <c r="K157" s="18">
        <v>68278.2</v>
      </c>
      <c r="L157" s="39">
        <v>0.8</v>
      </c>
      <c r="M157" s="19">
        <f t="shared" si="0"/>
        <v>68279</v>
      </c>
      <c r="N157" s="20"/>
      <c r="O157" s="20"/>
      <c r="P157" s="21">
        <f t="shared" si="28"/>
        <v>68279</v>
      </c>
      <c r="Q157" s="21">
        <f t="shared" si="2"/>
        <v>36776</v>
      </c>
      <c r="R157" s="22">
        <f t="shared" si="3"/>
        <v>1.1673808843602196</v>
      </c>
      <c r="S157" s="23"/>
      <c r="T157" s="23"/>
      <c r="U157" s="181"/>
      <c r="V157" s="182"/>
      <c r="W157" s="182"/>
      <c r="X157" s="182"/>
      <c r="Y157" s="182"/>
      <c r="Z157" s="182"/>
      <c r="AA157" s="182"/>
      <c r="AB157" s="18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</row>
    <row r="158" spans="1:43" ht="17.25" x14ac:dyDescent="0.35">
      <c r="A158" s="26" t="s">
        <v>22</v>
      </c>
      <c r="B158" s="27">
        <v>911</v>
      </c>
      <c r="C158" s="27" t="s">
        <v>23</v>
      </c>
      <c r="D158" s="27" t="s">
        <v>333</v>
      </c>
      <c r="E158" s="27" t="s">
        <v>334</v>
      </c>
      <c r="F158" s="28">
        <f>1101.57+1831085</f>
        <v>1832186.57</v>
      </c>
      <c r="G158" s="28">
        <v>1894267.57</v>
      </c>
      <c r="H158" s="28">
        <f>2071886.71</f>
        <v>2071886.71</v>
      </c>
      <c r="I158" s="28">
        <v>2140930</v>
      </c>
      <c r="J158" s="28">
        <v>2291969</v>
      </c>
      <c r="K158" s="18">
        <v>2399401</v>
      </c>
      <c r="L158" s="39"/>
      <c r="M158" s="19">
        <f t="shared" si="0"/>
        <v>2399401</v>
      </c>
      <c r="N158" s="20"/>
      <c r="O158" s="20"/>
      <c r="P158" s="21">
        <f t="shared" si="28"/>
        <v>2399401</v>
      </c>
      <c r="Q158" s="21">
        <f t="shared" si="2"/>
        <v>107432</v>
      </c>
      <c r="R158" s="22">
        <f t="shared" si="3"/>
        <v>4.6873234323849933E-2</v>
      </c>
      <c r="S158" s="23"/>
      <c r="T158" s="23"/>
      <c r="U158" s="24" t="e">
        <f>+'[1]Indirect Allocation'!F110</f>
        <v>#REF!</v>
      </c>
      <c r="V158" s="33" t="s">
        <v>335</v>
      </c>
      <c r="W158" s="52" t="e">
        <f>+'[1]Indirect Allocation'!F107</f>
        <v>#REF!</v>
      </c>
      <c r="X158" s="33" t="s">
        <v>335</v>
      </c>
      <c r="Y158" s="52" t="e">
        <f>+'[1]Indirect Allocation'!F108</f>
        <v>#REF!</v>
      </c>
      <c r="Z158" s="33" t="s">
        <v>335</v>
      </c>
      <c r="AA158" s="52" t="e">
        <f>+'[1]Indirect Allocation'!F109</f>
        <v>#REF!</v>
      </c>
      <c r="AB158" s="33" t="s">
        <v>335</v>
      </c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</row>
    <row r="159" spans="1:43" ht="17.25" x14ac:dyDescent="0.35">
      <c r="A159" s="26" t="s">
        <v>22</v>
      </c>
      <c r="B159" s="27">
        <v>911</v>
      </c>
      <c r="C159" s="27" t="s">
        <v>23</v>
      </c>
      <c r="D159" s="27" t="s">
        <v>336</v>
      </c>
      <c r="E159" s="27" t="s">
        <v>337</v>
      </c>
      <c r="F159" s="28">
        <v>254477.27</v>
      </c>
      <c r="G159" s="28">
        <v>265832.31</v>
      </c>
      <c r="H159" s="28">
        <v>288847.11</v>
      </c>
      <c r="I159" s="28">
        <v>297403.34000000003</v>
      </c>
      <c r="J159" s="28">
        <v>300000</v>
      </c>
      <c r="K159" s="18">
        <v>300000</v>
      </c>
      <c r="L159" s="39"/>
      <c r="M159" s="19">
        <f t="shared" si="0"/>
        <v>300000</v>
      </c>
      <c r="N159" s="20"/>
      <c r="O159" s="20"/>
      <c r="P159" s="21">
        <f t="shared" si="28"/>
        <v>300000</v>
      </c>
      <c r="Q159" s="21">
        <f t="shared" si="2"/>
        <v>0</v>
      </c>
      <c r="R159" s="22">
        <f t="shared" si="3"/>
        <v>0</v>
      </c>
      <c r="S159" s="23"/>
      <c r="T159" s="23"/>
      <c r="U159" s="24" t="e">
        <f>+'[1]Indirect Allocation'!F129</f>
        <v>#REF!</v>
      </c>
      <c r="V159" s="33" t="s">
        <v>335</v>
      </c>
      <c r="W159" s="52" t="e">
        <f>+'[1]Indirect Allocation'!F126</f>
        <v>#REF!</v>
      </c>
      <c r="X159" s="33" t="s">
        <v>335</v>
      </c>
      <c r="Y159" s="52" t="e">
        <f>+'[1]Indirect Allocation'!F127</f>
        <v>#REF!</v>
      </c>
      <c r="Z159" s="33" t="s">
        <v>335</v>
      </c>
      <c r="AA159" s="52" t="e">
        <f>+'[1]Indirect Allocation'!F128</f>
        <v>#REF!</v>
      </c>
      <c r="AB159" s="33" t="s">
        <v>335</v>
      </c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</row>
    <row r="160" spans="1:43" ht="17.25" x14ac:dyDescent="0.35">
      <c r="A160" s="26" t="s">
        <v>22</v>
      </c>
      <c r="B160" s="27">
        <v>913</v>
      </c>
      <c r="C160" s="27" t="s">
        <v>23</v>
      </c>
      <c r="D160" s="27" t="s">
        <v>338</v>
      </c>
      <c r="E160" s="27" t="s">
        <v>339</v>
      </c>
      <c r="F160" s="28">
        <v>75934</v>
      </c>
      <c r="G160" s="28">
        <v>36248.449999999997</v>
      </c>
      <c r="H160" s="28">
        <v>19182.439999999999</v>
      </c>
      <c r="I160" s="28">
        <v>21541.13</v>
      </c>
      <c r="J160" s="28">
        <v>100000</v>
      </c>
      <c r="K160" s="18">
        <v>100000</v>
      </c>
      <c r="L160" s="39"/>
      <c r="M160" s="19">
        <f t="shared" si="0"/>
        <v>100000</v>
      </c>
      <c r="N160" s="20"/>
      <c r="O160" s="20"/>
      <c r="P160" s="21">
        <f t="shared" si="28"/>
        <v>100000</v>
      </c>
      <c r="Q160" s="21">
        <f t="shared" si="2"/>
        <v>0</v>
      </c>
      <c r="R160" s="22">
        <f t="shared" si="3"/>
        <v>0</v>
      </c>
      <c r="S160" s="23"/>
      <c r="T160" s="23"/>
      <c r="U160" s="24" t="e">
        <f>+'[1]Indirect Allocation'!E55</f>
        <v>#REF!</v>
      </c>
      <c r="V160" s="33" t="s">
        <v>335</v>
      </c>
      <c r="W160" s="53"/>
      <c r="X160" s="53"/>
      <c r="Y160" s="53"/>
      <c r="Z160" s="53"/>
      <c r="AA160" s="53"/>
      <c r="AB160" s="5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</row>
    <row r="161" spans="1:43" ht="17.25" x14ac:dyDescent="0.35">
      <c r="A161" s="26" t="s">
        <v>22</v>
      </c>
      <c r="B161" s="27">
        <v>914</v>
      </c>
      <c r="C161" s="27" t="s">
        <v>23</v>
      </c>
      <c r="D161" s="27" t="s">
        <v>340</v>
      </c>
      <c r="E161" s="27" t="s">
        <v>341</v>
      </c>
      <c r="F161" s="28">
        <v>4515982.2</v>
      </c>
      <c r="G161" s="28">
        <v>4644236.66</v>
      </c>
      <c r="H161" s="28">
        <v>4601021.3499999996</v>
      </c>
      <c r="I161" s="28">
        <v>4688090.3</v>
      </c>
      <c r="J161" s="28">
        <v>5014130</v>
      </c>
      <c r="K161" s="18">
        <v>5412785.2000000002</v>
      </c>
      <c r="L161" s="39">
        <v>-0.2</v>
      </c>
      <c r="M161" s="19">
        <f t="shared" si="0"/>
        <v>5412785</v>
      </c>
      <c r="N161" s="20"/>
      <c r="O161" s="20"/>
      <c r="P161" s="21">
        <f t="shared" si="28"/>
        <v>5412785</v>
      </c>
      <c r="Q161" s="21">
        <f t="shared" si="2"/>
        <v>398655</v>
      </c>
      <c r="R161" s="22">
        <f t="shared" si="3"/>
        <v>7.9506315153376556E-2</v>
      </c>
      <c r="S161" s="23"/>
      <c r="T161" s="23"/>
      <c r="U161" s="24" t="e">
        <f>+[1]Insurance!S87</f>
        <v>#REF!</v>
      </c>
      <c r="V161" s="54"/>
      <c r="W161" s="55" t="e">
        <f>+[1]Insurance!T87</f>
        <v>#REF!</v>
      </c>
      <c r="X161" s="54"/>
      <c r="Y161" s="55" t="e">
        <f>+[1]Insurance!U87</f>
        <v>#REF!</v>
      </c>
      <c r="Z161" s="54"/>
      <c r="AA161" s="55" t="e">
        <f>+[1]Insurance!V87</f>
        <v>#REF!</v>
      </c>
      <c r="AB161" s="54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</row>
    <row r="162" spans="1:43" ht="16.5" x14ac:dyDescent="0.3">
      <c r="A162" s="26" t="s">
        <v>22</v>
      </c>
      <c r="B162" s="27">
        <v>914</v>
      </c>
      <c r="C162" s="27" t="s">
        <v>23</v>
      </c>
      <c r="D162" s="27" t="s">
        <v>342</v>
      </c>
      <c r="E162" s="27" t="s">
        <v>343</v>
      </c>
      <c r="F162" s="28">
        <v>133036.23000000001</v>
      </c>
      <c r="G162" s="28">
        <v>143922.19</v>
      </c>
      <c r="H162" s="28">
        <v>151601.60000000001</v>
      </c>
      <c r="I162" s="28">
        <v>168191.88</v>
      </c>
      <c r="J162" s="28">
        <v>192000</v>
      </c>
      <c r="K162" s="18">
        <v>176000</v>
      </c>
      <c r="L162" s="39"/>
      <c r="M162" s="19">
        <f t="shared" si="0"/>
        <v>176000</v>
      </c>
      <c r="N162" s="20"/>
      <c r="O162" s="20"/>
      <c r="P162" s="21">
        <f t="shared" si="28"/>
        <v>176000</v>
      </c>
      <c r="Q162" s="21">
        <f t="shared" si="2"/>
        <v>-16000</v>
      </c>
      <c r="R162" s="22">
        <f t="shared" si="3"/>
        <v>-8.3333333333333329E-2</v>
      </c>
      <c r="S162" s="23"/>
      <c r="T162" s="23"/>
      <c r="U162" s="181"/>
      <c r="V162" s="182"/>
      <c r="W162" s="182"/>
      <c r="X162" s="182"/>
      <c r="Y162" s="182"/>
      <c r="Z162" s="182"/>
      <c r="AA162" s="182"/>
      <c r="AB162" s="18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</row>
    <row r="163" spans="1:43" ht="17.25" x14ac:dyDescent="0.35">
      <c r="A163" s="26" t="s">
        <v>22</v>
      </c>
      <c r="B163" s="27">
        <v>915</v>
      </c>
      <c r="C163" s="27" t="s">
        <v>23</v>
      </c>
      <c r="D163" s="27" t="s">
        <v>344</v>
      </c>
      <c r="E163" s="27" t="s">
        <v>345</v>
      </c>
      <c r="F163" s="28">
        <f>17941.22-2943.74</f>
        <v>14997.480000000001</v>
      </c>
      <c r="G163" s="28">
        <v>18732.36</v>
      </c>
      <c r="H163" s="28">
        <v>20631.64</v>
      </c>
      <c r="I163" s="28">
        <v>19386.099999999999</v>
      </c>
      <c r="J163" s="28">
        <v>22000</v>
      </c>
      <c r="K163" s="18">
        <v>22000</v>
      </c>
      <c r="L163" s="39"/>
      <c r="M163" s="19">
        <f t="shared" si="0"/>
        <v>22000</v>
      </c>
      <c r="N163" s="20"/>
      <c r="O163" s="20"/>
      <c r="P163" s="21">
        <f t="shared" si="28"/>
        <v>22000</v>
      </c>
      <c r="Q163" s="21">
        <f t="shared" si="2"/>
        <v>0</v>
      </c>
      <c r="R163" s="22">
        <f t="shared" si="3"/>
        <v>0</v>
      </c>
      <c r="S163" s="23"/>
      <c r="T163" s="23"/>
      <c r="U163" s="56" t="e">
        <f>+[1]Insurance!W87</f>
        <v>#REF!</v>
      </c>
      <c r="V163" s="54"/>
      <c r="W163" s="55" t="e">
        <f>+[1]Insurance!X87</f>
        <v>#REF!</v>
      </c>
      <c r="X163" s="54"/>
      <c r="Y163" s="55" t="e">
        <f>+[1]Insurance!Y87</f>
        <v>#REF!</v>
      </c>
      <c r="Z163" s="54"/>
      <c r="AA163" s="55" t="e">
        <f>+[1]Insurance!Z87</f>
        <v>#REF!</v>
      </c>
      <c r="AB163" s="54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</row>
    <row r="164" spans="1:43" ht="17.25" x14ac:dyDescent="0.35">
      <c r="A164" s="26" t="s">
        <v>22</v>
      </c>
      <c r="B164" s="27">
        <v>916</v>
      </c>
      <c r="C164" s="27" t="s">
        <v>23</v>
      </c>
      <c r="D164" s="27" t="s">
        <v>346</v>
      </c>
      <c r="E164" s="27" t="s">
        <v>347</v>
      </c>
      <c r="F164" s="28">
        <f>27541.63+2943.74</f>
        <v>30485.370000000003</v>
      </c>
      <c r="G164" s="28">
        <v>30000</v>
      </c>
      <c r="H164" s="28">
        <v>27572.97</v>
      </c>
      <c r="I164" s="28">
        <v>30000</v>
      </c>
      <c r="J164" s="28">
        <v>30000</v>
      </c>
      <c r="K164" s="18">
        <v>30000</v>
      </c>
      <c r="L164" s="39"/>
      <c r="M164" s="19">
        <f t="shared" si="0"/>
        <v>30000</v>
      </c>
      <c r="N164" s="20"/>
      <c r="O164" s="20"/>
      <c r="P164" s="21">
        <f t="shared" si="28"/>
        <v>30000</v>
      </c>
      <c r="Q164" s="21">
        <f t="shared" si="2"/>
        <v>0</v>
      </c>
      <c r="R164" s="22">
        <f t="shared" si="3"/>
        <v>0</v>
      </c>
      <c r="S164" s="23"/>
      <c r="T164" s="23"/>
      <c r="U164" s="56" t="e">
        <f>+[1]Insurance!AA87</f>
        <v>#REF!</v>
      </c>
      <c r="V164" s="54"/>
      <c r="W164" s="55" t="e">
        <f>+[1]Insurance!AB87</f>
        <v>#REF!</v>
      </c>
      <c r="X164" s="54"/>
      <c r="Y164" s="55" t="e">
        <f>+[1]Insurance!AC87</f>
        <v>#REF!</v>
      </c>
      <c r="Z164" s="54"/>
      <c r="AA164" s="55" t="e">
        <f>+[1]Insurance!AD87</f>
        <v>#REF!</v>
      </c>
      <c r="AB164" s="54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</row>
    <row r="165" spans="1:43" ht="16.5" x14ac:dyDescent="0.3">
      <c r="A165" s="26" t="s">
        <v>22</v>
      </c>
      <c r="B165" s="27">
        <v>945</v>
      </c>
      <c r="C165" s="27" t="s">
        <v>23</v>
      </c>
      <c r="D165" s="27" t="s">
        <v>348</v>
      </c>
      <c r="E165" s="27" t="s">
        <v>349</v>
      </c>
      <c r="F165" s="28">
        <v>20000</v>
      </c>
      <c r="G165" s="28">
        <v>20000</v>
      </c>
      <c r="H165" s="28">
        <v>20000</v>
      </c>
      <c r="I165" s="28">
        <v>20000</v>
      </c>
      <c r="J165" s="28">
        <v>20000</v>
      </c>
      <c r="K165" s="18">
        <v>20000</v>
      </c>
      <c r="L165" s="39"/>
      <c r="M165" s="19">
        <f t="shared" si="0"/>
        <v>20000</v>
      </c>
      <c r="N165" s="20"/>
      <c r="O165" s="20"/>
      <c r="P165" s="21">
        <f t="shared" si="28"/>
        <v>20000</v>
      </c>
      <c r="Q165" s="21">
        <f t="shared" si="2"/>
        <v>0</v>
      </c>
      <c r="R165" s="22">
        <f t="shared" si="3"/>
        <v>0</v>
      </c>
      <c r="S165" s="23"/>
      <c r="T165" s="23"/>
      <c r="U165" s="181"/>
      <c r="V165" s="182"/>
      <c r="W165" s="182"/>
      <c r="X165" s="182"/>
      <c r="Y165" s="182"/>
      <c r="Z165" s="182"/>
      <c r="AA165" s="182"/>
      <c r="AB165" s="18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</row>
    <row r="166" spans="1:43" ht="16.5" x14ac:dyDescent="0.3">
      <c r="A166" s="26" t="s">
        <v>22</v>
      </c>
      <c r="B166" s="27">
        <v>945</v>
      </c>
      <c r="C166" s="27" t="s">
        <v>23</v>
      </c>
      <c r="D166" s="27" t="s">
        <v>350</v>
      </c>
      <c r="E166" s="27" t="s">
        <v>351</v>
      </c>
      <c r="F166" s="28">
        <v>365186.84</v>
      </c>
      <c r="G166" s="28">
        <v>473297</v>
      </c>
      <c r="H166" s="28">
        <v>482472</v>
      </c>
      <c r="I166" s="28">
        <v>484400.07</v>
      </c>
      <c r="J166" s="28">
        <v>499750</v>
      </c>
      <c r="K166" s="18">
        <v>547622</v>
      </c>
      <c r="L166" s="39"/>
      <c r="M166" s="19">
        <f t="shared" si="0"/>
        <v>547622</v>
      </c>
      <c r="N166" s="20"/>
      <c r="O166" s="20"/>
      <c r="P166" s="21">
        <f t="shared" si="28"/>
        <v>547622</v>
      </c>
      <c r="Q166" s="21">
        <f t="shared" si="2"/>
        <v>47872</v>
      </c>
      <c r="R166" s="22">
        <f t="shared" si="3"/>
        <v>9.5791895947973993E-2</v>
      </c>
      <c r="S166" s="23"/>
      <c r="T166" s="23"/>
      <c r="U166" s="24" t="e">
        <f>+'[1]Indirect Allocation'!G167</f>
        <v>#REF!</v>
      </c>
      <c r="V166" s="57" t="s">
        <v>335</v>
      </c>
      <c r="W166" s="24" t="e">
        <f>+'[1]Indirect Allocation'!D167</f>
        <v>#REF!</v>
      </c>
      <c r="X166" s="57" t="s">
        <v>335</v>
      </c>
      <c r="Y166" s="24" t="e">
        <f>+'[1]Indirect Allocation'!E167</f>
        <v>#REF!</v>
      </c>
      <c r="Z166" s="57" t="s">
        <v>335</v>
      </c>
      <c r="AA166" s="24" t="e">
        <f>+'[1]Indirect Allocation'!F167</f>
        <v>#REF!</v>
      </c>
      <c r="AB166" s="57" t="s">
        <v>335</v>
      </c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</row>
    <row r="167" spans="1:43" ht="17.25" x14ac:dyDescent="0.35">
      <c r="A167" s="26" t="s">
        <v>22</v>
      </c>
      <c r="B167" s="27">
        <v>912</v>
      </c>
      <c r="C167" s="27" t="s">
        <v>23</v>
      </c>
      <c r="D167" s="27" t="s">
        <v>352</v>
      </c>
      <c r="E167" s="27" t="s">
        <v>353</v>
      </c>
      <c r="F167" s="28">
        <v>129903</v>
      </c>
      <c r="G167" s="28">
        <v>134300</v>
      </c>
      <c r="H167" s="28">
        <v>222877</v>
      </c>
      <c r="I167" s="28">
        <v>192042</v>
      </c>
      <c r="J167" s="28">
        <v>201644</v>
      </c>
      <c r="K167" s="18">
        <v>201644</v>
      </c>
      <c r="L167" s="39"/>
      <c r="M167" s="19">
        <f t="shared" si="0"/>
        <v>201644</v>
      </c>
      <c r="N167" s="20"/>
      <c r="O167" s="20"/>
      <c r="P167" s="21">
        <f t="shared" si="28"/>
        <v>201644</v>
      </c>
      <c r="Q167" s="21">
        <f t="shared" si="2"/>
        <v>0</v>
      </c>
      <c r="R167" s="22">
        <f t="shared" si="3"/>
        <v>0</v>
      </c>
      <c r="S167" s="23"/>
      <c r="T167" s="23"/>
      <c r="U167" s="24">
        <f>+V167*P167</f>
        <v>0</v>
      </c>
      <c r="V167" s="33">
        <v>0</v>
      </c>
      <c r="W167" s="52" t="e">
        <f>+'[1]Indirect Allocation'!G107</f>
        <v>#REF!</v>
      </c>
      <c r="X167" s="57" t="s">
        <v>335</v>
      </c>
      <c r="Y167" s="52" t="e">
        <f>+'[1]Indirect Allocation'!G108</f>
        <v>#REF!</v>
      </c>
      <c r="Z167" s="57" t="s">
        <v>335</v>
      </c>
      <c r="AA167" s="52" t="e">
        <f>+'[1]Indirect Allocation'!G109</f>
        <v>#REF!</v>
      </c>
      <c r="AB167" s="57" t="s">
        <v>335</v>
      </c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</row>
    <row r="168" spans="1:43" ht="16.5" x14ac:dyDescent="0.3">
      <c r="A168" s="26" t="s">
        <v>22</v>
      </c>
      <c r="B168" s="27">
        <v>990</v>
      </c>
      <c r="C168" s="46" t="s">
        <v>354</v>
      </c>
      <c r="D168" s="58" t="s">
        <v>355</v>
      </c>
      <c r="E168" s="27" t="s">
        <v>356</v>
      </c>
      <c r="F168" s="28"/>
      <c r="G168" s="28"/>
      <c r="H168" s="28"/>
      <c r="I168" s="28"/>
      <c r="J168" s="28">
        <v>0</v>
      </c>
      <c r="K168" s="18">
        <v>0</v>
      </c>
      <c r="L168" s="39"/>
      <c r="M168" s="19">
        <f t="shared" si="0"/>
        <v>0</v>
      </c>
      <c r="N168" s="20"/>
      <c r="O168" s="20"/>
      <c r="P168" s="21">
        <f t="shared" si="28"/>
        <v>0</v>
      </c>
      <c r="Q168" s="21">
        <f t="shared" si="2"/>
        <v>0</v>
      </c>
      <c r="R168" s="22" t="e">
        <f t="shared" si="3"/>
        <v>#DIV/0!</v>
      </c>
      <c r="S168" s="23"/>
      <c r="T168" s="23"/>
      <c r="U168" s="41"/>
      <c r="V168" s="42"/>
      <c r="W168" s="42"/>
      <c r="X168" s="42"/>
      <c r="Y168" s="42"/>
      <c r="Z168" s="42"/>
      <c r="AA168" s="42"/>
      <c r="AB168" s="43"/>
      <c r="AC168" s="23"/>
      <c r="AD168" s="34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</row>
    <row r="169" spans="1:43" ht="16.5" x14ac:dyDescent="0.3">
      <c r="A169" s="26" t="s">
        <v>22</v>
      </c>
      <c r="B169" s="27">
        <v>990</v>
      </c>
      <c r="C169" s="46" t="s">
        <v>354</v>
      </c>
      <c r="D169" s="58" t="s">
        <v>357</v>
      </c>
      <c r="E169" s="27" t="s">
        <v>358</v>
      </c>
      <c r="F169" s="28"/>
      <c r="G169" s="28"/>
      <c r="H169" s="28">
        <v>0</v>
      </c>
      <c r="I169" s="28"/>
      <c r="J169" s="28">
        <v>0</v>
      </c>
      <c r="K169" s="18">
        <v>0</v>
      </c>
      <c r="L169" s="39"/>
      <c r="M169" s="19">
        <f t="shared" si="0"/>
        <v>0</v>
      </c>
      <c r="N169" s="20"/>
      <c r="O169" s="20"/>
      <c r="P169" s="21">
        <f t="shared" si="28"/>
        <v>0</v>
      </c>
      <c r="Q169" s="21">
        <f t="shared" si="2"/>
        <v>0</v>
      </c>
      <c r="R169" s="22" t="e">
        <f t="shared" si="3"/>
        <v>#DIV/0!</v>
      </c>
      <c r="S169" s="23"/>
      <c r="T169" s="23"/>
      <c r="U169" s="41"/>
      <c r="V169" s="42"/>
      <c r="W169" s="42"/>
      <c r="X169" s="42"/>
      <c r="Y169" s="42"/>
      <c r="Z169" s="42"/>
      <c r="AA169" s="42"/>
      <c r="AB169" s="43"/>
      <c r="AC169" s="23"/>
      <c r="AD169" s="34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</row>
    <row r="170" spans="1:43" ht="16.5" x14ac:dyDescent="0.3">
      <c r="A170" s="26" t="s">
        <v>22</v>
      </c>
      <c r="B170" s="27">
        <v>990</v>
      </c>
      <c r="C170" s="46" t="s">
        <v>354</v>
      </c>
      <c r="D170" s="46" t="s">
        <v>359</v>
      </c>
      <c r="E170" s="27" t="s">
        <v>360</v>
      </c>
      <c r="F170" s="28">
        <v>986</v>
      </c>
      <c r="G170" s="28">
        <v>5</v>
      </c>
      <c r="H170" s="28">
        <v>0</v>
      </c>
      <c r="I170" s="28"/>
      <c r="J170" s="28">
        <v>0</v>
      </c>
      <c r="K170" s="18">
        <v>0</v>
      </c>
      <c r="L170" s="39"/>
      <c r="M170" s="19">
        <f t="shared" si="0"/>
        <v>0</v>
      </c>
      <c r="N170" s="20"/>
      <c r="O170" s="20"/>
      <c r="P170" s="21">
        <f t="shared" si="28"/>
        <v>0</v>
      </c>
      <c r="Q170" s="21">
        <f t="shared" si="2"/>
        <v>0</v>
      </c>
      <c r="R170" s="22" t="e">
        <f t="shared" si="3"/>
        <v>#DIV/0!</v>
      </c>
      <c r="S170" s="23"/>
      <c r="T170" s="23"/>
      <c r="U170" s="181"/>
      <c r="V170" s="182"/>
      <c r="W170" s="182"/>
      <c r="X170" s="182"/>
      <c r="Y170" s="182"/>
      <c r="Z170" s="182"/>
      <c r="AA170" s="182"/>
      <c r="AB170" s="18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</row>
    <row r="171" spans="1:43" ht="16.5" thickBot="1" x14ac:dyDescent="0.3">
      <c r="A171" s="59"/>
      <c r="B171" s="60"/>
      <c r="C171" s="61"/>
      <c r="D171" s="45"/>
      <c r="E171" s="62" t="s">
        <v>361</v>
      </c>
      <c r="F171" s="63">
        <f t="shared" ref="F171:O171" si="29">SUM(F2:F170)</f>
        <v>37042853.469999999</v>
      </c>
      <c r="G171" s="63">
        <f t="shared" si="29"/>
        <v>38289663.100000009</v>
      </c>
      <c r="H171" s="63">
        <f t="shared" si="29"/>
        <v>38886585.350000009</v>
      </c>
      <c r="I171" s="63">
        <f t="shared" si="29"/>
        <v>40080292.74000001</v>
      </c>
      <c r="J171" s="63">
        <f t="shared" si="29"/>
        <v>42731277.599999994</v>
      </c>
      <c r="K171" s="64">
        <f t="shared" si="29"/>
        <v>43574613.329999998</v>
      </c>
      <c r="L171" s="64">
        <f t="shared" si="29"/>
        <v>-14013.230000000009</v>
      </c>
      <c r="M171" s="64">
        <f t="shared" si="29"/>
        <v>43560600.099999994</v>
      </c>
      <c r="N171" s="65">
        <f t="shared" si="29"/>
        <v>-207452.2</v>
      </c>
      <c r="O171" s="65">
        <f t="shared" si="29"/>
        <v>0</v>
      </c>
      <c r="P171" s="66">
        <f t="shared" si="28"/>
        <v>43353147.899999991</v>
      </c>
      <c r="Q171" s="67">
        <f>SUM(Q2:Q170)</f>
        <v>621871.4</v>
      </c>
      <c r="R171" s="68">
        <f t="shared" si="3"/>
        <v>1.4553072946267353E-2</v>
      </c>
      <c r="S171" s="34" t="s">
        <v>362</v>
      </c>
      <c r="T171" s="34"/>
      <c r="U171" s="69" t="e">
        <f>ROUND(SUM(U2:U170),0)</f>
        <v>#REF!</v>
      </c>
      <c r="V171" s="70"/>
      <c r="W171" s="69" t="e">
        <f>ROUND(SUM(W2:W170),0)</f>
        <v>#REF!</v>
      </c>
      <c r="X171" s="70"/>
      <c r="Y171" s="69" t="e">
        <f>ROUND(SUM(Y2:Y170),0)</f>
        <v>#REF!</v>
      </c>
      <c r="Z171" s="70"/>
      <c r="AA171" s="69" t="e">
        <f>ROUND(SUM(AA2:AA170),0)</f>
        <v>#REF!</v>
      </c>
      <c r="AB171" s="69" t="e">
        <f>+AA171+Y171+W171+U171</f>
        <v>#REF!</v>
      </c>
      <c r="AC171" s="69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</row>
    <row r="172" spans="1:43" ht="17.25" thickTop="1" thickBot="1" x14ac:dyDescent="0.3">
      <c r="A172" s="184" t="s">
        <v>363</v>
      </c>
      <c r="B172" s="185"/>
      <c r="C172" s="185"/>
      <c r="D172" s="185"/>
      <c r="E172" s="45"/>
      <c r="F172" s="9"/>
      <c r="G172" s="9"/>
      <c r="H172" s="9"/>
      <c r="I172" s="9"/>
      <c r="J172" s="9"/>
      <c r="K172" s="71"/>
      <c r="L172" s="72"/>
      <c r="M172" s="73"/>
      <c r="N172" s="74"/>
      <c r="O172" s="74"/>
      <c r="P172" s="66">
        <f t="shared" si="28"/>
        <v>0</v>
      </c>
      <c r="Q172" s="75"/>
      <c r="R172" s="76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</row>
    <row r="173" spans="1:43" ht="16.5" thickBot="1" x14ac:dyDescent="0.3">
      <c r="A173" s="77" t="s">
        <v>364</v>
      </c>
      <c r="B173" s="78">
        <v>125</v>
      </c>
      <c r="C173" s="79" t="s">
        <v>23</v>
      </c>
      <c r="D173" s="79" t="s">
        <v>365</v>
      </c>
      <c r="E173" s="80" t="s">
        <v>366</v>
      </c>
      <c r="F173" s="80">
        <v>0</v>
      </c>
      <c r="G173" s="28">
        <v>189350.33</v>
      </c>
      <c r="H173" s="28">
        <v>234304.5</v>
      </c>
      <c r="I173" s="28">
        <v>228410.58</v>
      </c>
      <c r="J173" s="80">
        <v>245000</v>
      </c>
      <c r="K173" s="81">
        <v>238000</v>
      </c>
      <c r="L173" s="82"/>
      <c r="M173" s="83">
        <f>+K173+L173</f>
        <v>238000</v>
      </c>
      <c r="N173" s="84"/>
      <c r="O173" s="85">
        <v>0</v>
      </c>
      <c r="P173" s="21">
        <f t="shared" si="28"/>
        <v>238000</v>
      </c>
      <c r="Q173" s="86">
        <f>+P173-J173</f>
        <v>-7000</v>
      </c>
      <c r="R173" s="22">
        <f>+Q173/H173</f>
        <v>-2.9875653263168229E-2</v>
      </c>
      <c r="S173" s="23"/>
      <c r="T173" s="87" t="e">
        <f>+P171-P105-P106+P193+P199+P206+P174</f>
        <v>#REF!</v>
      </c>
      <c r="U173" s="34" t="s">
        <v>367</v>
      </c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</row>
    <row r="174" spans="1:43" ht="16.5" thickBot="1" x14ac:dyDescent="0.3">
      <c r="A174" s="45"/>
      <c r="B174" s="88"/>
      <c r="C174" s="45"/>
      <c r="D174" s="9"/>
      <c r="E174" s="9"/>
      <c r="F174" s="63">
        <f t="shared" ref="F174:M174" si="30">SUM(F173)</f>
        <v>0</v>
      </c>
      <c r="G174" s="63">
        <f t="shared" si="30"/>
        <v>189350.33</v>
      </c>
      <c r="H174" s="63">
        <f t="shared" si="30"/>
        <v>234304.5</v>
      </c>
      <c r="I174" s="63">
        <f t="shared" si="30"/>
        <v>228410.58</v>
      </c>
      <c r="J174" s="63">
        <f t="shared" si="30"/>
        <v>245000</v>
      </c>
      <c r="K174" s="64">
        <f t="shared" si="30"/>
        <v>238000</v>
      </c>
      <c r="L174" s="89">
        <f t="shared" si="30"/>
        <v>0</v>
      </c>
      <c r="M174" s="89">
        <f t="shared" si="30"/>
        <v>238000</v>
      </c>
      <c r="N174" s="65">
        <f t="shared" ref="N174:O174" si="31">+N173</f>
        <v>0</v>
      </c>
      <c r="O174" s="65">
        <f t="shared" si="31"/>
        <v>0</v>
      </c>
      <c r="P174" s="21">
        <f t="shared" si="28"/>
        <v>238000</v>
      </c>
      <c r="Q174" s="67">
        <f t="shared" ref="Q174:R174" si="32">SUM(Q173)</f>
        <v>-7000</v>
      </c>
      <c r="R174" s="90">
        <f t="shared" si="32"/>
        <v>-2.9875653263168229E-2</v>
      </c>
      <c r="S174" s="34" t="s">
        <v>368</v>
      </c>
      <c r="T174" s="23"/>
      <c r="U174" s="91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</row>
    <row r="175" spans="1:43" ht="16.5" thickTop="1" x14ac:dyDescent="0.25">
      <c r="A175" s="186" t="s">
        <v>369</v>
      </c>
      <c r="B175" s="187"/>
      <c r="C175" s="187"/>
      <c r="D175" s="45"/>
      <c r="E175" s="45"/>
      <c r="F175" s="9"/>
      <c r="G175" s="9"/>
      <c r="H175" s="9"/>
      <c r="I175" s="9"/>
      <c r="J175" s="9"/>
      <c r="K175" s="71"/>
      <c r="L175" s="73"/>
      <c r="M175" s="73"/>
      <c r="N175" s="74"/>
      <c r="O175" s="74"/>
      <c r="P175" s="21">
        <f t="shared" si="28"/>
        <v>0</v>
      </c>
      <c r="Q175" s="75"/>
      <c r="R175" s="76"/>
      <c r="S175" s="23"/>
      <c r="T175" s="23"/>
      <c r="U175" s="92" t="s">
        <v>370</v>
      </c>
      <c r="V175" s="93"/>
      <c r="W175" s="93"/>
      <c r="X175" s="93"/>
      <c r="Y175" s="93"/>
      <c r="Z175" s="93"/>
      <c r="AA175" s="93"/>
      <c r="AB175" s="94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</row>
    <row r="176" spans="1:43" ht="17.25" thickBot="1" x14ac:dyDescent="0.35">
      <c r="A176" s="95" t="s">
        <v>371</v>
      </c>
      <c r="B176" s="27">
        <v>451</v>
      </c>
      <c r="C176" s="46" t="s">
        <v>26</v>
      </c>
      <c r="D176" s="46" t="s">
        <v>372</v>
      </c>
      <c r="E176" s="28" t="s">
        <v>373</v>
      </c>
      <c r="F176" s="28">
        <v>401935.26</v>
      </c>
      <c r="G176" s="28">
        <v>377068.1</v>
      </c>
      <c r="H176" s="28">
        <v>366895.88</v>
      </c>
      <c r="I176" s="28">
        <v>386922.19</v>
      </c>
      <c r="J176" s="28">
        <v>428481</v>
      </c>
      <c r="K176" s="18">
        <v>417017.36</v>
      </c>
      <c r="L176" s="39"/>
      <c r="M176" s="39">
        <f t="shared" ref="M176:M180" si="33">+K176+L176</f>
        <v>417017.36</v>
      </c>
      <c r="N176" s="36"/>
      <c r="O176" s="36">
        <v>0</v>
      </c>
      <c r="P176" s="21">
        <f t="shared" si="28"/>
        <v>417017.36</v>
      </c>
      <c r="Q176" s="21">
        <f t="shared" ref="Q176:Q180" si="34">+P176-J176</f>
        <v>-11463.640000000014</v>
      </c>
      <c r="R176" s="22">
        <f t="shared" ref="R176:R191" si="35">+Q176/H176</f>
        <v>-3.1244940662729748E-2</v>
      </c>
      <c r="S176" s="23"/>
      <c r="T176" s="23"/>
      <c r="U176" s="96">
        <f>SUMIFS(U1:U170,C1:C170,"S")</f>
        <v>33465.164000000004</v>
      </c>
      <c r="V176" s="97"/>
      <c r="W176" s="98" t="e">
        <f>SUMIFS(W1:W170,C1:C170,"S")</f>
        <v>#REF!</v>
      </c>
      <c r="X176" s="97"/>
      <c r="Y176" s="98" t="e">
        <f>SUMIFS(Y1:Y170,C1:C170,"S")</f>
        <v>#REF!</v>
      </c>
      <c r="Z176" s="97"/>
      <c r="AA176" s="98" t="e">
        <f>SUMIFS(AA1:AA170,C1:C170,"S")</f>
        <v>#REF!</v>
      </c>
      <c r="AB176" s="99" t="e">
        <f>+AA176+Y176+W176+U176</f>
        <v>#REF!</v>
      </c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</row>
    <row r="177" spans="1:43" ht="15" x14ac:dyDescent="0.2">
      <c r="A177" s="95" t="s">
        <v>371</v>
      </c>
      <c r="B177" s="27">
        <v>451</v>
      </c>
      <c r="C177" s="46" t="s">
        <v>26</v>
      </c>
      <c r="D177" s="46" t="s">
        <v>374</v>
      </c>
      <c r="E177" s="28" t="s">
        <v>375</v>
      </c>
      <c r="F177" s="28">
        <v>0</v>
      </c>
      <c r="G177" s="28">
        <v>44277.58</v>
      </c>
      <c r="H177" s="28">
        <v>67536.44</v>
      </c>
      <c r="I177" s="28">
        <v>83004.08</v>
      </c>
      <c r="J177" s="28">
        <v>48000</v>
      </c>
      <c r="K177" s="18">
        <v>32982.639999999999</v>
      </c>
      <c r="L177" s="39"/>
      <c r="M177" s="39">
        <f t="shared" si="33"/>
        <v>32982.639999999999</v>
      </c>
      <c r="N177" s="36"/>
      <c r="O177" s="36">
        <v>0</v>
      </c>
      <c r="P177" s="21">
        <f t="shared" si="28"/>
        <v>32982.639999999999</v>
      </c>
      <c r="Q177" s="21">
        <f t="shared" si="34"/>
        <v>-15017.36</v>
      </c>
      <c r="R177" s="22">
        <f t="shared" si="35"/>
        <v>-0.22235936629173822</v>
      </c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</row>
    <row r="178" spans="1:43" ht="15.75" x14ac:dyDescent="0.25">
      <c r="A178" s="95" t="s">
        <v>371</v>
      </c>
      <c r="B178" s="27">
        <v>451</v>
      </c>
      <c r="C178" s="46" t="s">
        <v>23</v>
      </c>
      <c r="D178" s="46" t="s">
        <v>376</v>
      </c>
      <c r="E178" s="28" t="s">
        <v>377</v>
      </c>
      <c r="F178" s="28">
        <v>530993.86</v>
      </c>
      <c r="G178" s="28">
        <v>544148.04</v>
      </c>
      <c r="H178" s="28">
        <v>565719.17000000004</v>
      </c>
      <c r="I178" s="28">
        <v>450776.2</v>
      </c>
      <c r="J178" s="28">
        <v>623519</v>
      </c>
      <c r="K178" s="18">
        <v>650000</v>
      </c>
      <c r="L178" s="39"/>
      <c r="M178" s="39">
        <f t="shared" si="33"/>
        <v>650000</v>
      </c>
      <c r="N178" s="36"/>
      <c r="O178" s="36">
        <v>0</v>
      </c>
      <c r="P178" s="21">
        <f t="shared" si="28"/>
        <v>650000</v>
      </c>
      <c r="Q178" s="21">
        <f t="shared" si="34"/>
        <v>26481</v>
      </c>
      <c r="R178" s="22">
        <f t="shared" si="35"/>
        <v>4.6809444339671213E-2</v>
      </c>
      <c r="S178" s="23"/>
      <c r="T178" s="23"/>
      <c r="U178" s="23">
        <v>247578</v>
      </c>
      <c r="V178" s="23"/>
      <c r="W178" s="23">
        <f>+J190-U178</f>
        <v>466029</v>
      </c>
      <c r="X178" s="23"/>
      <c r="Y178" s="23">
        <f>+J204</f>
        <v>353643</v>
      </c>
      <c r="Z178" s="23"/>
      <c r="AA178" s="23">
        <f>+J197</f>
        <v>123821</v>
      </c>
      <c r="AB178" s="23">
        <f>+AA178+Y178+W178+U178</f>
        <v>1191071</v>
      </c>
      <c r="AC178" s="34" t="s">
        <v>378</v>
      </c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</row>
    <row r="179" spans="1:43" ht="15.75" x14ac:dyDescent="0.25">
      <c r="A179" s="95" t="s">
        <v>371</v>
      </c>
      <c r="B179" s="27">
        <v>451</v>
      </c>
      <c r="C179" s="46" t="s">
        <v>23</v>
      </c>
      <c r="D179" s="46" t="s">
        <v>379</v>
      </c>
      <c r="E179" s="28" t="s">
        <v>380</v>
      </c>
      <c r="F179" s="28"/>
      <c r="G179" s="28"/>
      <c r="H179" s="28"/>
      <c r="I179" s="28"/>
      <c r="J179" s="28">
        <v>100000</v>
      </c>
      <c r="K179" s="18">
        <v>100000</v>
      </c>
      <c r="L179" s="39"/>
      <c r="M179" s="39">
        <f t="shared" si="33"/>
        <v>100000</v>
      </c>
      <c r="N179" s="36"/>
      <c r="O179" s="36"/>
      <c r="P179" s="21">
        <f t="shared" si="28"/>
        <v>100000</v>
      </c>
      <c r="Q179" s="21">
        <f t="shared" si="34"/>
        <v>0</v>
      </c>
      <c r="R179" s="22" t="e">
        <f t="shared" si="35"/>
        <v>#DIV/0!</v>
      </c>
      <c r="S179" s="23"/>
      <c r="T179" s="23"/>
      <c r="U179" s="23"/>
      <c r="V179" s="23"/>
      <c r="W179" s="23"/>
      <c r="X179" s="23"/>
      <c r="Y179" s="23"/>
      <c r="Z179" s="23"/>
      <c r="AA179" s="23"/>
      <c r="AB179" s="23" t="e">
        <f>+'[1]Indirect Allocation'!F9-AB178</f>
        <v>#REF!</v>
      </c>
      <c r="AC179" s="34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</row>
    <row r="180" spans="1:43" ht="15.75" x14ac:dyDescent="0.25">
      <c r="A180" s="95" t="s">
        <v>371</v>
      </c>
      <c r="B180" s="27">
        <v>451</v>
      </c>
      <c r="C180" s="46" t="s">
        <v>23</v>
      </c>
      <c r="D180" s="46" t="s">
        <v>381</v>
      </c>
      <c r="E180" s="28" t="s">
        <v>382</v>
      </c>
      <c r="F180" s="28"/>
      <c r="G180" s="28"/>
      <c r="H180" s="28">
        <f>16346.76+173627.18</f>
        <v>189973.94</v>
      </c>
      <c r="I180" s="28"/>
      <c r="J180" s="100">
        <v>0</v>
      </c>
      <c r="K180" s="18">
        <v>0</v>
      </c>
      <c r="L180" s="39"/>
      <c r="M180" s="39">
        <f t="shared" si="33"/>
        <v>0</v>
      </c>
      <c r="N180" s="36"/>
      <c r="O180" s="36"/>
      <c r="P180" s="86"/>
      <c r="Q180" s="21">
        <f t="shared" si="34"/>
        <v>0</v>
      </c>
      <c r="R180" s="22">
        <f t="shared" si="35"/>
        <v>0</v>
      </c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34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</row>
    <row r="181" spans="1:43" ht="16.5" thickBot="1" x14ac:dyDescent="0.3">
      <c r="A181" s="46"/>
      <c r="B181" s="27"/>
      <c r="C181" s="46"/>
      <c r="D181" s="46"/>
      <c r="E181" s="46"/>
      <c r="F181" s="100">
        <f t="shared" ref="F181:G181" si="36">SUM(F176:F178)</f>
        <v>932929.12</v>
      </c>
      <c r="G181" s="100">
        <f t="shared" si="36"/>
        <v>965493.72</v>
      </c>
      <c r="H181" s="100">
        <f t="shared" ref="H181:K181" si="37">SUM(H176:H180)</f>
        <v>1190125.43</v>
      </c>
      <c r="I181" s="100">
        <f t="shared" si="37"/>
        <v>920702.47</v>
      </c>
      <c r="J181" s="100">
        <f t="shared" si="37"/>
        <v>1200000</v>
      </c>
      <c r="K181" s="101">
        <f t="shared" si="37"/>
        <v>1200000</v>
      </c>
      <c r="L181" s="18">
        <f>SUM(L176:L178)</f>
        <v>0</v>
      </c>
      <c r="M181" s="101">
        <f t="shared" ref="M181:O181" si="38">SUM(M176:M180)</f>
        <v>1200000</v>
      </c>
      <c r="N181" s="36">
        <f t="shared" si="38"/>
        <v>0</v>
      </c>
      <c r="O181" s="36">
        <f t="shared" si="38"/>
        <v>0</v>
      </c>
      <c r="P181" s="102">
        <f t="shared" ref="P181:P183" si="39">+N181+O181+M181</f>
        <v>1200000</v>
      </c>
      <c r="Q181" s="102">
        <f>+Q176+Q177+Q178+Q179</f>
        <v>-1.4551915228366852E-11</v>
      </c>
      <c r="R181" s="22">
        <f t="shared" si="35"/>
        <v>-1.22272114027232E-17</v>
      </c>
      <c r="S181" s="34" t="s">
        <v>383</v>
      </c>
      <c r="T181" s="23"/>
      <c r="U181" s="103" t="e">
        <f>+U171-U178</f>
        <v>#REF!</v>
      </c>
      <c r="V181" s="23"/>
      <c r="W181" s="103" t="e">
        <f>+W171-W178</f>
        <v>#REF!</v>
      </c>
      <c r="X181" s="23"/>
      <c r="Y181" s="103" t="e">
        <f>+Y171-Y178</f>
        <v>#REF!</v>
      </c>
      <c r="Z181" s="23"/>
      <c r="AA181" s="103" t="e">
        <f>+AA171-AA178</f>
        <v>#REF!</v>
      </c>
      <c r="AB181" s="23" t="s">
        <v>384</v>
      </c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</row>
    <row r="182" spans="1:43" ht="15.75" thickTop="1" x14ac:dyDescent="0.2">
      <c r="A182" s="95" t="s">
        <v>371</v>
      </c>
      <c r="B182" s="27">
        <v>450</v>
      </c>
      <c r="C182" s="46" t="s">
        <v>23</v>
      </c>
      <c r="D182" s="46" t="s">
        <v>385</v>
      </c>
      <c r="E182" s="28" t="s">
        <v>386</v>
      </c>
      <c r="F182" s="28">
        <v>98355.04</v>
      </c>
      <c r="G182" s="28">
        <v>87361.46</v>
      </c>
      <c r="H182" s="28">
        <v>136301.96</v>
      </c>
      <c r="I182" s="28">
        <v>66777.95</v>
      </c>
      <c r="J182" s="28">
        <v>105000</v>
      </c>
      <c r="K182" s="18">
        <v>105000</v>
      </c>
      <c r="L182" s="39"/>
      <c r="M182" s="39">
        <f t="shared" ref="M182:M186" si="40">+K182+L182</f>
        <v>105000</v>
      </c>
      <c r="N182" s="36"/>
      <c r="O182" s="36">
        <v>0</v>
      </c>
      <c r="P182" s="86">
        <f t="shared" si="39"/>
        <v>105000</v>
      </c>
      <c r="Q182" s="21">
        <f t="shared" ref="Q182:Q191" si="41">+P182-J182</f>
        <v>0</v>
      </c>
      <c r="R182" s="22">
        <f t="shared" si="35"/>
        <v>0</v>
      </c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</row>
    <row r="183" spans="1:43" ht="15" x14ac:dyDescent="0.2">
      <c r="A183" s="95" t="s">
        <v>371</v>
      </c>
      <c r="B183" s="27">
        <v>452</v>
      </c>
      <c r="C183" s="46" t="s">
        <v>23</v>
      </c>
      <c r="D183" s="46" t="s">
        <v>387</v>
      </c>
      <c r="E183" s="28" t="s">
        <v>388</v>
      </c>
      <c r="F183" s="28">
        <v>9722.15</v>
      </c>
      <c r="G183" s="28">
        <v>55189.75</v>
      </c>
      <c r="H183" s="28">
        <v>15020.64</v>
      </c>
      <c r="I183" s="28">
        <v>13652.75</v>
      </c>
      <c r="J183" s="28">
        <v>30000</v>
      </c>
      <c r="K183" s="18">
        <v>30000</v>
      </c>
      <c r="L183" s="39"/>
      <c r="M183" s="39">
        <f t="shared" si="40"/>
        <v>30000</v>
      </c>
      <c r="N183" s="36"/>
      <c r="O183" s="36">
        <v>0</v>
      </c>
      <c r="P183" s="86">
        <f t="shared" si="39"/>
        <v>30000</v>
      </c>
      <c r="Q183" s="21">
        <f t="shared" si="41"/>
        <v>0</v>
      </c>
      <c r="R183" s="22">
        <f t="shared" si="35"/>
        <v>0</v>
      </c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</row>
    <row r="184" spans="1:43" ht="15" x14ac:dyDescent="0.2">
      <c r="A184" s="95" t="s">
        <v>371</v>
      </c>
      <c r="B184" s="27">
        <v>710</v>
      </c>
      <c r="C184" s="46" t="s">
        <v>23</v>
      </c>
      <c r="D184" s="46" t="s">
        <v>389</v>
      </c>
      <c r="E184" s="28" t="s">
        <v>390</v>
      </c>
      <c r="F184" s="28">
        <v>748319.49</v>
      </c>
      <c r="G184" s="28">
        <v>752173.19</v>
      </c>
      <c r="H184" s="28">
        <v>756101.87</v>
      </c>
      <c r="I184" s="28">
        <v>760110.23</v>
      </c>
      <c r="J184" s="28">
        <v>888198</v>
      </c>
      <c r="K184" s="18">
        <v>891491.72</v>
      </c>
      <c r="L184" s="39">
        <v>0.28000000000000003</v>
      </c>
      <c r="M184" s="39">
        <f t="shared" si="40"/>
        <v>891492</v>
      </c>
      <c r="N184" s="36"/>
      <c r="O184" s="36">
        <v>0</v>
      </c>
      <c r="P184" s="86">
        <f t="shared" ref="P184:P185" si="42">ROUND(+N184+O184+M184,0)</f>
        <v>891492</v>
      </c>
      <c r="Q184" s="21">
        <f t="shared" si="41"/>
        <v>3294</v>
      </c>
      <c r="R184" s="22">
        <f t="shared" si="35"/>
        <v>4.3565558170091554E-3</v>
      </c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</row>
    <row r="185" spans="1:43" ht="16.5" x14ac:dyDescent="0.3">
      <c r="A185" s="95" t="s">
        <v>371</v>
      </c>
      <c r="B185" s="27">
        <v>751</v>
      </c>
      <c r="C185" s="46" t="s">
        <v>23</v>
      </c>
      <c r="D185" s="46" t="s">
        <v>391</v>
      </c>
      <c r="E185" s="28" t="s">
        <v>392</v>
      </c>
      <c r="F185" s="28">
        <v>250661.55</v>
      </c>
      <c r="G185" s="28">
        <v>221325</v>
      </c>
      <c r="H185" s="28">
        <v>191842.78</v>
      </c>
      <c r="I185" s="28">
        <v>162281.18</v>
      </c>
      <c r="J185" s="28">
        <v>189932</v>
      </c>
      <c r="K185" s="18">
        <v>154786.59</v>
      </c>
      <c r="L185" s="39">
        <v>0.41</v>
      </c>
      <c r="M185" s="39">
        <f t="shared" si="40"/>
        <v>154787</v>
      </c>
      <c r="N185" s="36"/>
      <c r="O185" s="36">
        <v>0</v>
      </c>
      <c r="P185" s="86">
        <f t="shared" si="42"/>
        <v>154787</v>
      </c>
      <c r="Q185" s="21">
        <f t="shared" si="41"/>
        <v>-35145</v>
      </c>
      <c r="R185" s="22">
        <f t="shared" si="35"/>
        <v>-0.1831968865338586</v>
      </c>
      <c r="S185" s="23"/>
      <c r="T185" s="23"/>
      <c r="U185" s="104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</row>
    <row r="186" spans="1:43" ht="15" x14ac:dyDescent="0.2">
      <c r="A186" s="95" t="s">
        <v>371</v>
      </c>
      <c r="B186" s="27">
        <v>751</v>
      </c>
      <c r="C186" s="46" t="s">
        <v>23</v>
      </c>
      <c r="D186" s="46" t="s">
        <v>393</v>
      </c>
      <c r="E186" s="28" t="s">
        <v>394</v>
      </c>
      <c r="F186" s="28">
        <v>0</v>
      </c>
      <c r="G186" s="28">
        <v>4455.2299999999996</v>
      </c>
      <c r="H186" s="28">
        <v>4164.29</v>
      </c>
      <c r="I186" s="28">
        <v>3867.55</v>
      </c>
      <c r="J186" s="28">
        <v>4500</v>
      </c>
      <c r="K186" s="18">
        <v>4500</v>
      </c>
      <c r="L186" s="39"/>
      <c r="M186" s="39">
        <f t="shared" si="40"/>
        <v>4500</v>
      </c>
      <c r="N186" s="36"/>
      <c r="O186" s="36">
        <v>0</v>
      </c>
      <c r="P186" s="86">
        <f>+N186+O186+M186</f>
        <v>4500</v>
      </c>
      <c r="Q186" s="21">
        <f t="shared" si="41"/>
        <v>0</v>
      </c>
      <c r="R186" s="22">
        <f t="shared" si="35"/>
        <v>0</v>
      </c>
      <c r="S186" s="23"/>
      <c r="T186" s="23"/>
      <c r="U186" s="91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</row>
    <row r="187" spans="1:43" ht="15" x14ac:dyDescent="0.2">
      <c r="A187" s="95" t="s">
        <v>371</v>
      </c>
      <c r="B187" s="27">
        <v>752</v>
      </c>
      <c r="C187" s="46" t="s">
        <v>23</v>
      </c>
      <c r="D187" s="46" t="s">
        <v>395</v>
      </c>
      <c r="E187" s="28" t="s">
        <v>396</v>
      </c>
      <c r="F187" s="28">
        <v>5240.4799999999996</v>
      </c>
      <c r="G187" s="28">
        <v>7237.75</v>
      </c>
      <c r="H187" s="28">
        <v>36126.99</v>
      </c>
      <c r="I187" s="28">
        <v>42469.67</v>
      </c>
      <c r="J187" s="28">
        <v>140355</v>
      </c>
      <c r="K187" s="18">
        <v>150000</v>
      </c>
      <c r="L187" s="39"/>
      <c r="M187" s="39">
        <f>ROUNDUP(+K187+L187,0)</f>
        <v>150000</v>
      </c>
      <c r="N187" s="36"/>
      <c r="O187" s="36">
        <v>0</v>
      </c>
      <c r="P187" s="86">
        <f>ROUND(+N187+O187+M187,0)</f>
        <v>150000</v>
      </c>
      <c r="Q187" s="21">
        <f t="shared" si="41"/>
        <v>9645</v>
      </c>
      <c r="R187" s="22">
        <f t="shared" si="35"/>
        <v>0.2669749126622506</v>
      </c>
      <c r="S187" s="23"/>
      <c r="T187" s="23"/>
      <c r="U187" s="91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</row>
    <row r="188" spans="1:43" ht="15" x14ac:dyDescent="0.2">
      <c r="A188" s="95" t="s">
        <v>371</v>
      </c>
      <c r="B188" s="27">
        <v>752</v>
      </c>
      <c r="C188" s="46" t="s">
        <v>23</v>
      </c>
      <c r="D188" s="46" t="s">
        <v>397</v>
      </c>
      <c r="E188" s="28" t="s">
        <v>398</v>
      </c>
      <c r="F188" s="28"/>
      <c r="G188" s="28"/>
      <c r="H188" s="28"/>
      <c r="I188" s="28">
        <v>55382</v>
      </c>
      <c r="J188" s="28">
        <v>55382</v>
      </c>
      <c r="K188" s="18">
        <v>53600</v>
      </c>
      <c r="L188" s="39"/>
      <c r="M188" s="39">
        <f t="shared" ref="M188:M191" si="43">+K188+L188</f>
        <v>53600</v>
      </c>
      <c r="N188" s="36"/>
      <c r="O188" s="36"/>
      <c r="P188" s="86">
        <f t="shared" ref="P188:P190" si="44">+N188+O188+M188</f>
        <v>53600</v>
      </c>
      <c r="Q188" s="21">
        <f t="shared" si="41"/>
        <v>-1782</v>
      </c>
      <c r="R188" s="22" t="e">
        <f t="shared" si="35"/>
        <v>#DIV/0!</v>
      </c>
      <c r="S188" s="23"/>
      <c r="T188" s="23"/>
      <c r="U188" s="91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</row>
    <row r="189" spans="1:43" ht="15" x14ac:dyDescent="0.2">
      <c r="A189" s="95" t="s">
        <v>371</v>
      </c>
      <c r="B189" s="27">
        <v>450</v>
      </c>
      <c r="C189" s="46" t="s">
        <v>23</v>
      </c>
      <c r="D189" s="46" t="s">
        <v>399</v>
      </c>
      <c r="E189" s="28" t="s">
        <v>400</v>
      </c>
      <c r="F189" s="28">
        <v>0</v>
      </c>
      <c r="G189" s="28">
        <v>0</v>
      </c>
      <c r="H189" s="28">
        <v>0</v>
      </c>
      <c r="I189" s="28"/>
      <c r="J189" s="28">
        <v>50000</v>
      </c>
      <c r="K189" s="18">
        <v>100000</v>
      </c>
      <c r="L189" s="39"/>
      <c r="M189" s="39">
        <f t="shared" si="43"/>
        <v>100000</v>
      </c>
      <c r="N189" s="36"/>
      <c r="O189" s="36">
        <v>0</v>
      </c>
      <c r="P189" s="86">
        <f t="shared" si="44"/>
        <v>100000</v>
      </c>
      <c r="Q189" s="21">
        <f t="shared" si="41"/>
        <v>50000</v>
      </c>
      <c r="R189" s="22" t="e">
        <f t="shared" si="35"/>
        <v>#DIV/0!</v>
      </c>
      <c r="S189" s="23"/>
      <c r="T189" s="23"/>
      <c r="U189" s="91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</row>
    <row r="190" spans="1:43" ht="15" x14ac:dyDescent="0.2">
      <c r="A190" s="95" t="s">
        <v>371</v>
      </c>
      <c r="B190" s="27">
        <v>450</v>
      </c>
      <c r="C190" s="46" t="s">
        <v>354</v>
      </c>
      <c r="D190" s="46" t="s">
        <v>401</v>
      </c>
      <c r="E190" s="28" t="s">
        <v>402</v>
      </c>
      <c r="F190" s="28">
        <v>760051</v>
      </c>
      <c r="G190" s="28">
        <v>696760</v>
      </c>
      <c r="H190" s="28">
        <v>724307</v>
      </c>
      <c r="I190" s="28">
        <v>675082</v>
      </c>
      <c r="J190" s="28">
        <v>713607</v>
      </c>
      <c r="K190" s="18" t="e">
        <f>+U171+W171</f>
        <v>#REF!</v>
      </c>
      <c r="L190" s="39"/>
      <c r="M190" s="39" t="e">
        <f t="shared" si="43"/>
        <v>#REF!</v>
      </c>
      <c r="N190" s="36"/>
      <c r="O190" s="36"/>
      <c r="P190" s="86" t="e">
        <f t="shared" si="44"/>
        <v>#REF!</v>
      </c>
      <c r="Q190" s="21" t="e">
        <f t="shared" si="41"/>
        <v>#REF!</v>
      </c>
      <c r="R190" s="22" t="e">
        <f t="shared" si="35"/>
        <v>#REF!</v>
      </c>
      <c r="S190" s="23"/>
      <c r="T190" s="23"/>
      <c r="U190" s="91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</row>
    <row r="191" spans="1:43" ht="15.75" thickBot="1" x14ac:dyDescent="0.25">
      <c r="A191" s="105" t="s">
        <v>371</v>
      </c>
      <c r="B191" s="106">
        <v>450</v>
      </c>
      <c r="C191" s="107" t="s">
        <v>354</v>
      </c>
      <c r="D191" s="107" t="s">
        <v>403</v>
      </c>
      <c r="E191" s="108" t="s">
        <v>404</v>
      </c>
      <c r="F191" s="108">
        <v>16500</v>
      </c>
      <c r="G191" s="108">
        <f>26939+1</f>
        <v>26940</v>
      </c>
      <c r="H191" s="108">
        <v>13214</v>
      </c>
      <c r="I191" s="108">
        <v>0</v>
      </c>
      <c r="J191" s="108">
        <v>0</v>
      </c>
      <c r="K191" s="109"/>
      <c r="L191" s="110"/>
      <c r="M191" s="110">
        <f t="shared" si="43"/>
        <v>0</v>
      </c>
      <c r="N191" s="111"/>
      <c r="O191" s="111"/>
      <c r="P191" s="112">
        <f>+M191+O191</f>
        <v>0</v>
      </c>
      <c r="Q191" s="21">
        <f t="shared" si="41"/>
        <v>0</v>
      </c>
      <c r="R191" s="22">
        <f t="shared" si="35"/>
        <v>0</v>
      </c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</row>
    <row r="192" spans="1:43" ht="15.75" x14ac:dyDescent="0.25">
      <c r="A192" s="45"/>
      <c r="B192" s="88"/>
      <c r="C192" s="45"/>
      <c r="D192" s="45"/>
      <c r="E192" s="45">
        <f>5515980.83-37500-55382+150000+53600</f>
        <v>5626698.8300000001</v>
      </c>
      <c r="F192" s="113">
        <f t="shared" ref="F192:M192" si="45">SUM(F182:F191)</f>
        <v>1888849.71</v>
      </c>
      <c r="G192" s="113">
        <f t="shared" si="45"/>
        <v>1851442.38</v>
      </c>
      <c r="H192" s="113">
        <f t="shared" si="45"/>
        <v>1877079.53</v>
      </c>
      <c r="I192" s="113">
        <f t="shared" si="45"/>
        <v>1779623.3299999998</v>
      </c>
      <c r="J192" s="113">
        <f t="shared" si="45"/>
        <v>2176974</v>
      </c>
      <c r="K192" s="114" t="e">
        <f t="shared" si="45"/>
        <v>#REF!</v>
      </c>
      <c r="L192" s="115">
        <f t="shared" si="45"/>
        <v>0.69</v>
      </c>
      <c r="M192" s="115" t="e">
        <f t="shared" si="45"/>
        <v>#REF!</v>
      </c>
      <c r="N192" s="74"/>
      <c r="O192" s="74">
        <f t="shared" ref="O192:R192" si="46">SUM(O182:O191)</f>
        <v>0</v>
      </c>
      <c r="P192" s="179" t="e">
        <f t="shared" si="46"/>
        <v>#REF!</v>
      </c>
      <c r="Q192" s="75" t="e">
        <f t="shared" si="46"/>
        <v>#REF!</v>
      </c>
      <c r="R192" s="76" t="e">
        <f t="shared" si="46"/>
        <v>#DIV/0!</v>
      </c>
      <c r="S192" s="34" t="s">
        <v>405</v>
      </c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</row>
    <row r="193" spans="1:43" ht="16.5" thickBot="1" x14ac:dyDescent="0.3">
      <c r="A193" s="45"/>
      <c r="B193" s="88"/>
      <c r="C193" s="45"/>
      <c r="D193" s="45"/>
      <c r="E193" s="45"/>
      <c r="F193" s="116">
        <f t="shared" ref="F193:M193" si="47">+F192+F181</f>
        <v>2821778.83</v>
      </c>
      <c r="G193" s="116">
        <f t="shared" si="47"/>
        <v>2816936.0999999996</v>
      </c>
      <c r="H193" s="116">
        <f t="shared" si="47"/>
        <v>3067204.96</v>
      </c>
      <c r="I193" s="116">
        <f t="shared" si="47"/>
        <v>2700325.8</v>
      </c>
      <c r="J193" s="116">
        <f t="shared" si="47"/>
        <v>3376974</v>
      </c>
      <c r="K193" s="117" t="e">
        <f t="shared" si="47"/>
        <v>#REF!</v>
      </c>
      <c r="L193" s="118">
        <f t="shared" si="47"/>
        <v>0.69</v>
      </c>
      <c r="M193" s="118" t="e">
        <f t="shared" si="47"/>
        <v>#REF!</v>
      </c>
      <c r="N193" s="119"/>
      <c r="O193" s="119">
        <f t="shared" ref="O193:R193" si="48">+O192+O181</f>
        <v>0</v>
      </c>
      <c r="P193" s="180" t="e">
        <f t="shared" si="48"/>
        <v>#REF!</v>
      </c>
      <c r="Q193" s="120" t="e">
        <f t="shared" si="48"/>
        <v>#REF!</v>
      </c>
      <c r="R193" s="121" t="e">
        <f t="shared" si="48"/>
        <v>#DIV/0!</v>
      </c>
      <c r="S193" s="34" t="s">
        <v>406</v>
      </c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</row>
    <row r="194" spans="1:43" ht="17.25" thickTop="1" thickBot="1" x14ac:dyDescent="0.3">
      <c r="A194" s="184" t="s">
        <v>407</v>
      </c>
      <c r="B194" s="185"/>
      <c r="C194" s="185"/>
      <c r="D194" s="185"/>
      <c r="E194" s="45"/>
      <c r="F194" s="9"/>
      <c r="G194" s="9"/>
      <c r="H194" s="9"/>
      <c r="I194" s="9"/>
      <c r="J194" s="9"/>
      <c r="K194" s="71"/>
      <c r="L194" s="73"/>
      <c r="M194" s="73"/>
      <c r="N194" s="74"/>
      <c r="O194" s="74"/>
      <c r="P194" s="75" t="e">
        <f>M193+O193+N193=P193</f>
        <v>#REF!</v>
      </c>
      <c r="Q194" s="75"/>
      <c r="R194" s="76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</row>
    <row r="195" spans="1:43" ht="15" x14ac:dyDescent="0.2">
      <c r="A195" s="122" t="s">
        <v>408</v>
      </c>
      <c r="B195" s="123">
        <v>430</v>
      </c>
      <c r="C195" s="124" t="s">
        <v>23</v>
      </c>
      <c r="D195" s="124" t="s">
        <v>409</v>
      </c>
      <c r="E195" s="125" t="s">
        <v>410</v>
      </c>
      <c r="F195" s="125">
        <v>412212</v>
      </c>
      <c r="G195" s="125">
        <v>492092.75</v>
      </c>
      <c r="H195" s="125">
        <v>526674.05000000005</v>
      </c>
      <c r="I195" s="125">
        <v>524361.24</v>
      </c>
      <c r="J195" s="125">
        <v>564000</v>
      </c>
      <c r="K195" s="126">
        <v>760000</v>
      </c>
      <c r="L195" s="39">
        <v>0</v>
      </c>
      <c r="M195" s="127">
        <f t="shared" ref="M195:M198" si="49">+K195+L195</f>
        <v>760000</v>
      </c>
      <c r="N195" s="85"/>
      <c r="O195" s="85">
        <v>0</v>
      </c>
      <c r="P195" s="128">
        <f>+M195+O195</f>
        <v>760000</v>
      </c>
      <c r="Q195" s="21">
        <f t="shared" ref="Q195:Q197" si="50">+P195-J195</f>
        <v>196000</v>
      </c>
      <c r="R195" s="22">
        <f t="shared" ref="R195:R198" si="51">+Q195/H195</f>
        <v>0.37214668161455833</v>
      </c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</row>
    <row r="196" spans="1:43" ht="15" x14ac:dyDescent="0.2">
      <c r="A196" s="95" t="s">
        <v>408</v>
      </c>
      <c r="B196" s="27">
        <v>430</v>
      </c>
      <c r="C196" s="46" t="s">
        <v>23</v>
      </c>
      <c r="D196" s="46" t="s">
        <v>411</v>
      </c>
      <c r="E196" s="28" t="s">
        <v>400</v>
      </c>
      <c r="F196" s="28">
        <v>0</v>
      </c>
      <c r="G196" s="28">
        <v>0</v>
      </c>
      <c r="H196" s="28">
        <v>0</v>
      </c>
      <c r="I196" s="28">
        <v>0</v>
      </c>
      <c r="J196" s="28">
        <v>15000</v>
      </c>
      <c r="K196" s="18">
        <v>15000</v>
      </c>
      <c r="L196" s="39">
        <v>0</v>
      </c>
      <c r="M196" s="39">
        <f t="shared" si="49"/>
        <v>15000</v>
      </c>
      <c r="N196" s="36"/>
      <c r="O196" s="36"/>
      <c r="P196" s="86">
        <f>+M196+N196</f>
        <v>15000</v>
      </c>
      <c r="Q196" s="21">
        <f t="shared" si="50"/>
        <v>0</v>
      </c>
      <c r="R196" s="22" t="e">
        <f t="shared" si="51"/>
        <v>#DIV/0!</v>
      </c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</row>
    <row r="197" spans="1:43" ht="15" x14ac:dyDescent="0.2">
      <c r="A197" s="95" t="s">
        <v>408</v>
      </c>
      <c r="B197" s="27">
        <v>430</v>
      </c>
      <c r="C197" s="46" t="s">
        <v>354</v>
      </c>
      <c r="D197" s="46" t="s">
        <v>412</v>
      </c>
      <c r="E197" s="28" t="s">
        <v>402</v>
      </c>
      <c r="F197" s="28">
        <v>146788</v>
      </c>
      <c r="G197" s="28">
        <v>133458</v>
      </c>
      <c r="H197" s="28">
        <v>142582</v>
      </c>
      <c r="I197" s="28">
        <v>110347</v>
      </c>
      <c r="J197" s="28">
        <v>123821</v>
      </c>
      <c r="K197" s="18" t="e">
        <f>+AA171</f>
        <v>#REF!</v>
      </c>
      <c r="L197" s="39"/>
      <c r="M197" s="39" t="e">
        <f t="shared" si="49"/>
        <v>#REF!</v>
      </c>
      <c r="N197" s="36"/>
      <c r="O197" s="36"/>
      <c r="P197" s="86" t="e">
        <f>+M197+N197+O197</f>
        <v>#REF!</v>
      </c>
      <c r="Q197" s="21" t="e">
        <f t="shared" si="50"/>
        <v>#REF!</v>
      </c>
      <c r="R197" s="22" t="e">
        <f t="shared" si="51"/>
        <v>#REF!</v>
      </c>
      <c r="S197" s="23"/>
      <c r="T197" s="23"/>
      <c r="U197" s="91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</row>
    <row r="198" spans="1:43" ht="15.75" thickBot="1" x14ac:dyDescent="0.25">
      <c r="A198" s="129" t="s">
        <v>408</v>
      </c>
      <c r="B198" s="130">
        <v>430</v>
      </c>
      <c r="C198" s="131" t="s">
        <v>354</v>
      </c>
      <c r="D198" s="131" t="s">
        <v>413</v>
      </c>
      <c r="E198" s="132" t="s">
        <v>404</v>
      </c>
      <c r="F198" s="132">
        <v>0</v>
      </c>
      <c r="G198" s="132">
        <v>7198</v>
      </c>
      <c r="H198" s="132">
        <v>0</v>
      </c>
      <c r="I198" s="132"/>
      <c r="J198" s="132">
        <v>0</v>
      </c>
      <c r="K198" s="133">
        <v>0</v>
      </c>
      <c r="L198" s="134"/>
      <c r="M198" s="135">
        <f t="shared" si="49"/>
        <v>0</v>
      </c>
      <c r="N198" s="136"/>
      <c r="O198" s="136">
        <v>0</v>
      </c>
      <c r="P198" s="137">
        <f>+M198+O198</f>
        <v>0</v>
      </c>
      <c r="Q198" s="21">
        <f>+P198-H198</f>
        <v>0</v>
      </c>
      <c r="R198" s="22" t="e">
        <f t="shared" si="51"/>
        <v>#DIV/0!</v>
      </c>
      <c r="S198" s="23"/>
      <c r="T198" s="23"/>
      <c r="U198" s="91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</row>
    <row r="199" spans="1:43" ht="16.5" thickBot="1" x14ac:dyDescent="0.3">
      <c r="A199" s="45"/>
      <c r="B199" s="88"/>
      <c r="C199" s="45"/>
      <c r="D199" s="9"/>
      <c r="E199" s="9"/>
      <c r="F199" s="63">
        <f t="shared" ref="F199:N199" si="52">SUM(F195:F198)</f>
        <v>559000</v>
      </c>
      <c r="G199" s="63">
        <f t="shared" si="52"/>
        <v>632748.75</v>
      </c>
      <c r="H199" s="63">
        <f t="shared" si="52"/>
        <v>669256.05000000005</v>
      </c>
      <c r="I199" s="63">
        <f t="shared" si="52"/>
        <v>634708.24</v>
      </c>
      <c r="J199" s="63">
        <f t="shared" si="52"/>
        <v>702821</v>
      </c>
      <c r="K199" s="64" t="e">
        <f t="shared" si="52"/>
        <v>#REF!</v>
      </c>
      <c r="L199" s="64">
        <f t="shared" si="52"/>
        <v>0</v>
      </c>
      <c r="M199" s="64" t="e">
        <f t="shared" si="52"/>
        <v>#REF!</v>
      </c>
      <c r="N199" s="65">
        <f t="shared" si="52"/>
        <v>0</v>
      </c>
      <c r="O199" s="138">
        <f>+O195+O198</f>
        <v>0</v>
      </c>
      <c r="P199" s="67" t="e">
        <f t="shared" ref="P199:R199" si="53">SUM(P195:P198)</f>
        <v>#REF!</v>
      </c>
      <c r="Q199" s="67" t="e">
        <f t="shared" si="53"/>
        <v>#REF!</v>
      </c>
      <c r="R199" s="90" t="e">
        <f t="shared" si="53"/>
        <v>#DIV/0!</v>
      </c>
      <c r="S199" s="34" t="s">
        <v>414</v>
      </c>
      <c r="T199" s="23"/>
      <c r="U199" s="91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</row>
    <row r="200" spans="1:43" ht="17.25" thickTop="1" thickBot="1" x14ac:dyDescent="0.3">
      <c r="A200" s="188" t="s">
        <v>415</v>
      </c>
      <c r="B200" s="185"/>
      <c r="C200" s="185"/>
      <c r="D200" s="45"/>
      <c r="E200" s="9"/>
      <c r="F200" s="9"/>
      <c r="G200" s="9"/>
      <c r="H200" s="9"/>
      <c r="I200" s="9"/>
      <c r="J200" s="9"/>
      <c r="K200" s="71"/>
      <c r="L200" s="73"/>
      <c r="M200" s="73"/>
      <c r="N200" s="74"/>
      <c r="O200" s="74"/>
      <c r="P200" s="75" t="e">
        <f>K199+L199+O199+N199=P199</f>
        <v>#REF!</v>
      </c>
      <c r="Q200" s="75"/>
      <c r="R200" s="76"/>
      <c r="S200" s="23"/>
      <c r="T200" s="23"/>
      <c r="U200" s="91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</row>
    <row r="201" spans="1:43" ht="15" x14ac:dyDescent="0.2">
      <c r="A201" s="139" t="s">
        <v>416</v>
      </c>
      <c r="B201" s="140">
        <v>440</v>
      </c>
      <c r="C201" s="141" t="s">
        <v>23</v>
      </c>
      <c r="D201" s="141" t="s">
        <v>417</v>
      </c>
      <c r="E201" s="142" t="s">
        <v>418</v>
      </c>
      <c r="F201" s="142">
        <v>151500.32</v>
      </c>
      <c r="G201" s="142">
        <v>78453.490000000005</v>
      </c>
      <c r="H201" s="142">
        <v>196264.3</v>
      </c>
      <c r="I201" s="142">
        <v>172568.41</v>
      </c>
      <c r="J201" s="142">
        <v>106000</v>
      </c>
      <c r="K201" s="143">
        <v>106000</v>
      </c>
      <c r="L201" s="144"/>
      <c r="M201" s="144">
        <f t="shared" ref="M201:M205" si="54">+K201+L201</f>
        <v>106000</v>
      </c>
      <c r="N201" s="85"/>
      <c r="O201" s="85">
        <v>0</v>
      </c>
      <c r="P201" s="128">
        <f t="shared" ref="P201:P202" si="55">+M201+O201</f>
        <v>106000</v>
      </c>
      <c r="Q201" s="21">
        <f t="shared" ref="Q201:Q205" si="56">+P201-J201</f>
        <v>0</v>
      </c>
      <c r="R201" s="22">
        <f t="shared" ref="R201:R205" si="57">+Q201/H201</f>
        <v>0</v>
      </c>
      <c r="S201" s="23"/>
      <c r="T201" s="23"/>
      <c r="U201" s="91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</row>
    <row r="202" spans="1:43" ht="15" x14ac:dyDescent="0.2">
      <c r="A202" s="26" t="s">
        <v>416</v>
      </c>
      <c r="B202" s="27">
        <v>440</v>
      </c>
      <c r="C202" s="46" t="s">
        <v>23</v>
      </c>
      <c r="D202" s="46" t="s">
        <v>419</v>
      </c>
      <c r="E202" s="28" t="s">
        <v>420</v>
      </c>
      <c r="F202" s="28">
        <v>1759996</v>
      </c>
      <c r="G202" s="28">
        <v>1804666</v>
      </c>
      <c r="H202" s="28">
        <v>1824554</v>
      </c>
      <c r="I202" s="28">
        <v>1854115.77</v>
      </c>
      <c r="J202" s="28">
        <v>1816238</v>
      </c>
      <c r="K202" s="18">
        <v>1907050</v>
      </c>
      <c r="L202" s="39">
        <f>1898064-K202</f>
        <v>-8986</v>
      </c>
      <c r="M202" s="19">
        <f t="shared" si="54"/>
        <v>1898064</v>
      </c>
      <c r="N202" s="20"/>
      <c r="O202" s="20">
        <v>0</v>
      </c>
      <c r="P202" s="21">
        <f t="shared" si="55"/>
        <v>1898064</v>
      </c>
      <c r="Q202" s="21">
        <f t="shared" si="56"/>
        <v>81826</v>
      </c>
      <c r="R202" s="22">
        <f t="shared" si="57"/>
        <v>4.4847124283523533E-2</v>
      </c>
      <c r="S202" s="23"/>
      <c r="T202" s="23"/>
      <c r="U202" s="91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</row>
    <row r="203" spans="1:43" ht="15" x14ac:dyDescent="0.2">
      <c r="A203" s="26" t="s">
        <v>416</v>
      </c>
      <c r="B203" s="27">
        <v>440</v>
      </c>
      <c r="C203" s="46" t="s">
        <v>23</v>
      </c>
      <c r="D203" s="46" t="s">
        <v>421</v>
      </c>
      <c r="E203" s="28" t="s">
        <v>400</v>
      </c>
      <c r="F203" s="28">
        <v>0</v>
      </c>
      <c r="G203" s="28">
        <v>0</v>
      </c>
      <c r="H203" s="28">
        <v>0</v>
      </c>
      <c r="I203" s="28"/>
      <c r="J203" s="28">
        <v>100000</v>
      </c>
      <c r="K203" s="18">
        <v>100000</v>
      </c>
      <c r="L203" s="39"/>
      <c r="M203" s="19">
        <f t="shared" si="54"/>
        <v>100000</v>
      </c>
      <c r="N203" s="20"/>
      <c r="O203" s="20"/>
      <c r="P203" s="21">
        <f>+M203+N203</f>
        <v>100000</v>
      </c>
      <c r="Q203" s="21">
        <f t="shared" si="56"/>
        <v>0</v>
      </c>
      <c r="R203" s="22" t="e">
        <f t="shared" si="57"/>
        <v>#DIV/0!</v>
      </c>
      <c r="S203" s="23"/>
      <c r="T203" s="23"/>
      <c r="U203" s="91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</row>
    <row r="204" spans="1:43" ht="15" x14ac:dyDescent="0.2">
      <c r="A204" s="26" t="s">
        <v>416</v>
      </c>
      <c r="B204" s="27">
        <v>440</v>
      </c>
      <c r="C204" s="46" t="s">
        <v>354</v>
      </c>
      <c r="D204" s="46" t="s">
        <v>422</v>
      </c>
      <c r="E204" s="28" t="s">
        <v>402</v>
      </c>
      <c r="F204" s="28">
        <v>413860</v>
      </c>
      <c r="G204" s="28">
        <v>393823</v>
      </c>
      <c r="H204" s="28">
        <v>387438</v>
      </c>
      <c r="I204" s="28">
        <v>381280</v>
      </c>
      <c r="J204" s="28">
        <v>353643</v>
      </c>
      <c r="K204" s="18" t="e">
        <f>+Y171</f>
        <v>#REF!</v>
      </c>
      <c r="L204" s="39"/>
      <c r="M204" s="19" t="e">
        <f t="shared" si="54"/>
        <v>#REF!</v>
      </c>
      <c r="N204" s="20"/>
      <c r="O204" s="20"/>
      <c r="P204" s="21" t="e">
        <f>+M204+N204+O204</f>
        <v>#REF!</v>
      </c>
      <c r="Q204" s="21" t="e">
        <f t="shared" si="56"/>
        <v>#REF!</v>
      </c>
      <c r="R204" s="22" t="e">
        <f t="shared" si="57"/>
        <v>#REF!</v>
      </c>
      <c r="S204" s="23"/>
      <c r="T204" s="23"/>
      <c r="U204" s="91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</row>
    <row r="205" spans="1:43" ht="15.75" thickBot="1" x14ac:dyDescent="0.25">
      <c r="A205" s="105" t="s">
        <v>416</v>
      </c>
      <c r="B205" s="106">
        <v>440</v>
      </c>
      <c r="C205" s="107" t="s">
        <v>354</v>
      </c>
      <c r="D205" s="107" t="s">
        <v>423</v>
      </c>
      <c r="E205" s="132" t="s">
        <v>404</v>
      </c>
      <c r="F205" s="108">
        <v>16500</v>
      </c>
      <c r="G205" s="108">
        <v>29352</v>
      </c>
      <c r="H205" s="108">
        <v>13214</v>
      </c>
      <c r="I205" s="108">
        <v>0</v>
      </c>
      <c r="J205" s="108">
        <v>0</v>
      </c>
      <c r="K205" s="110">
        <v>0</v>
      </c>
      <c r="L205" s="110"/>
      <c r="M205" s="135">
        <f t="shared" si="54"/>
        <v>0</v>
      </c>
      <c r="N205" s="136"/>
      <c r="O205" s="136">
        <v>0</v>
      </c>
      <c r="P205" s="137">
        <f>+M205+N205</f>
        <v>0</v>
      </c>
      <c r="Q205" s="21">
        <f t="shared" si="56"/>
        <v>0</v>
      </c>
      <c r="R205" s="22">
        <f t="shared" si="57"/>
        <v>0</v>
      </c>
      <c r="S205" s="23"/>
      <c r="T205" s="23"/>
      <c r="U205" s="91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</row>
    <row r="206" spans="1:43" ht="16.5" thickBot="1" x14ac:dyDescent="0.3">
      <c r="A206" s="45"/>
      <c r="B206" s="88"/>
      <c r="C206" s="45"/>
      <c r="D206" s="45"/>
      <c r="E206" s="9"/>
      <c r="F206" s="63">
        <f t="shared" ref="F206:R206" si="58">SUM(F201:F205)</f>
        <v>2341856.3200000003</v>
      </c>
      <c r="G206" s="63">
        <f t="shared" si="58"/>
        <v>2306294.4900000002</v>
      </c>
      <c r="H206" s="63">
        <f t="shared" si="58"/>
        <v>2421470.2999999998</v>
      </c>
      <c r="I206" s="63">
        <f t="shared" si="58"/>
        <v>2407964.1799999997</v>
      </c>
      <c r="J206" s="63">
        <f t="shared" si="58"/>
        <v>2375881</v>
      </c>
      <c r="K206" s="64" t="e">
        <f t="shared" si="58"/>
        <v>#REF!</v>
      </c>
      <c r="L206" s="64">
        <f t="shared" si="58"/>
        <v>-8986</v>
      </c>
      <c r="M206" s="64" t="e">
        <f t="shared" si="58"/>
        <v>#REF!</v>
      </c>
      <c r="N206" s="65">
        <f t="shared" si="58"/>
        <v>0</v>
      </c>
      <c r="O206" s="138">
        <f t="shared" si="58"/>
        <v>0</v>
      </c>
      <c r="P206" s="67" t="e">
        <f t="shared" si="58"/>
        <v>#REF!</v>
      </c>
      <c r="Q206" s="67" t="e">
        <f t="shared" si="58"/>
        <v>#REF!</v>
      </c>
      <c r="R206" s="90" t="e">
        <f t="shared" si="58"/>
        <v>#DIV/0!</v>
      </c>
      <c r="S206" s="34" t="s">
        <v>424</v>
      </c>
      <c r="T206" s="23"/>
      <c r="U206" s="91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</row>
    <row r="207" spans="1:43" ht="16.5" thickTop="1" x14ac:dyDescent="0.25">
      <c r="A207" s="45"/>
      <c r="B207" s="88"/>
      <c r="C207" s="45"/>
      <c r="D207" s="45"/>
      <c r="E207" s="9"/>
      <c r="F207" s="9"/>
      <c r="G207" s="9"/>
      <c r="H207" s="9"/>
      <c r="I207" s="9"/>
      <c r="J207" s="9"/>
      <c r="K207" s="71"/>
      <c r="L207" s="73"/>
      <c r="M207" s="73"/>
      <c r="N207" s="74"/>
      <c r="O207" s="145" t="s">
        <v>425</v>
      </c>
      <c r="P207" s="75" t="e">
        <f>K206+L206+O206+N206=P206</f>
        <v>#REF!</v>
      </c>
      <c r="Q207" s="75"/>
      <c r="R207" s="146"/>
      <c r="S207" s="23"/>
      <c r="T207" s="23"/>
      <c r="U207" s="91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</row>
    <row r="208" spans="1:43" ht="15" x14ac:dyDescent="0.2">
      <c r="A208" s="45"/>
      <c r="B208" s="88"/>
      <c r="C208" s="45"/>
      <c r="D208" s="45"/>
      <c r="E208" s="147" t="s">
        <v>426</v>
      </c>
      <c r="F208" s="9">
        <v>36779149.469999999</v>
      </c>
      <c r="G208" s="147">
        <v>40845981.530000001</v>
      </c>
      <c r="H208" s="147">
        <v>41805280.759999998</v>
      </c>
      <c r="I208" s="147">
        <v>42573423.890000001</v>
      </c>
      <c r="J208" s="147">
        <v>45414390.420000002</v>
      </c>
      <c r="K208" s="148">
        <f>+K250</f>
        <v>43574613.329999998</v>
      </c>
      <c r="L208" s="149">
        <f>+L171</f>
        <v>-14013.230000000009</v>
      </c>
      <c r="M208" s="148">
        <f t="shared" ref="M208:M211" si="59">+K208+L208</f>
        <v>43560600.100000001</v>
      </c>
      <c r="N208" s="74">
        <f>+N171</f>
        <v>-207452.2</v>
      </c>
      <c r="O208" s="74"/>
      <c r="P208" s="150">
        <f>+N208+O208+M208</f>
        <v>43353147.899999999</v>
      </c>
      <c r="Q208" s="151">
        <f t="shared" ref="Q208:Q211" si="60">+P208-J208</f>
        <v>-2061242.5200000033</v>
      </c>
      <c r="R208" s="146"/>
      <c r="S208" s="23"/>
      <c r="T208" s="23"/>
      <c r="U208" s="91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</row>
    <row r="209" spans="1:43" ht="15" x14ac:dyDescent="0.2">
      <c r="A209" s="45"/>
      <c r="B209" s="88"/>
      <c r="C209" s="45"/>
      <c r="D209" s="45"/>
      <c r="E209" s="91" t="s">
        <v>427</v>
      </c>
      <c r="F209" s="9">
        <v>-40000</v>
      </c>
      <c r="G209" s="147">
        <f>-886928-51124.48-30439.96-1058348.7-66000-114311.62+8850+10920-12574.34-167011</f>
        <v>-2366968.0999999996</v>
      </c>
      <c r="H209" s="147">
        <f>-23714-520000-975-8072.75-5654.5-16311.59-564.96-1712.95-3581-1936.56-2974-45.98-33667.82-3060-23429.57-5271.67-2397.32-1080-2317.1-572-424.44-52402.6-1060557-8024.1-100000-805644</f>
        <v>-2684390.9099999997</v>
      </c>
      <c r="I209" s="147">
        <f>-1019006-54149.64-1681500+300000-34.99-850-1137.85-1800-13.49-4.04-1495-177.74-2475-104-199-8101.5-4401.07-196.8-1942.08-19653.98-158.36-502.42-851.31-3501.5-110.59-1.6-1994.24-8751.75-17+20000-0.2</f>
        <v>-2493131.1500000004</v>
      </c>
      <c r="J209" s="147">
        <f>-1149029-127698.07-4889.3-6160.05-1013141-350000-100000+69664.6</f>
        <v>-2681252.8199999998</v>
      </c>
      <c r="K209" s="148">
        <v>0</v>
      </c>
      <c r="L209" s="149">
        <v>0</v>
      </c>
      <c r="M209" s="149">
        <f t="shared" si="59"/>
        <v>0</v>
      </c>
      <c r="N209" s="74">
        <v>0</v>
      </c>
      <c r="O209" s="74"/>
      <c r="P209" s="75">
        <v>0</v>
      </c>
      <c r="Q209" s="151">
        <f t="shared" si="60"/>
        <v>2681252.8199999998</v>
      </c>
      <c r="R209" s="146"/>
      <c r="S209" s="23"/>
      <c r="T209" s="23"/>
      <c r="U209" s="91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</row>
    <row r="210" spans="1:43" ht="15" x14ac:dyDescent="0.2">
      <c r="A210" s="45"/>
      <c r="B210" s="88"/>
      <c r="C210" s="45"/>
      <c r="D210" s="45"/>
      <c r="E210" s="147" t="s">
        <v>428</v>
      </c>
      <c r="F210" s="9">
        <f>412212+1911496.32+98355.04+748319.49+255902.03+401935.26+530993.86+9722.15+16500+16500+413860+146788+760051</f>
        <v>5722635.1500000013</v>
      </c>
      <c r="G210" s="147">
        <f>678533.05+2308935.95+3759287.67-45784.3-2641.46-144-3170-9965.04-25397.53-235090-667545-1040</f>
        <v>5755979.3399999999</v>
      </c>
      <c r="H210" s="147">
        <f>669256.05+2511254.36+4036757.87-45349.32-44434.74-1237.5-11194.1-52715.71-291.6-236076-668038</f>
        <v>6157931.3100000005</v>
      </c>
      <c r="I210" s="147">
        <f>634708.24+228410.58+2409934.24+3723289.51-1565-405.06-22284.2-73385.08-3714.93-2112.5-247578-673789-100</f>
        <v>5971408.8000000007</v>
      </c>
      <c r="J210" s="147">
        <f>4386394.21+2386272.56+751672.6+245000-726817-253634-28969.21-10391.56-48851.6</f>
        <v>6700676</v>
      </c>
      <c r="K210" s="148" t="e">
        <f>238000+1200000+2113050+775000+235000+53600+150000+891491.72+154786.59+4500+AB171</f>
        <v>#REF!</v>
      </c>
      <c r="L210" s="149">
        <f>+L206+L193</f>
        <v>-8985.31</v>
      </c>
      <c r="M210" s="149" t="e">
        <f t="shared" si="59"/>
        <v>#REF!</v>
      </c>
      <c r="N210" s="152">
        <v>0</v>
      </c>
      <c r="O210" s="152"/>
      <c r="P210" s="151" t="e">
        <f>+M210+N210+O210</f>
        <v>#REF!</v>
      </c>
      <c r="Q210" s="151" t="e">
        <f t="shared" si="60"/>
        <v>#REF!</v>
      </c>
      <c r="R210" s="146"/>
      <c r="S210" s="23"/>
      <c r="T210" s="23"/>
      <c r="U210" s="91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</row>
    <row r="211" spans="1:43" ht="15" x14ac:dyDescent="0.2">
      <c r="A211" s="45"/>
      <c r="B211" s="88"/>
      <c r="C211" s="45"/>
      <c r="D211" s="45"/>
      <c r="E211" s="147" t="s">
        <v>429</v>
      </c>
      <c r="F211" s="9">
        <f>+F171+F193+F199+F206</f>
        <v>42765488.619999997</v>
      </c>
      <c r="G211" s="9">
        <f t="shared" ref="G211:K211" si="61">+G171+G193+G199+G206+G174</f>
        <v>44234992.770000011</v>
      </c>
      <c r="H211" s="9">
        <f t="shared" si="61"/>
        <v>45278821.160000004</v>
      </c>
      <c r="I211" s="9">
        <f t="shared" si="61"/>
        <v>46051701.540000007</v>
      </c>
      <c r="J211" s="9">
        <f t="shared" si="61"/>
        <v>49431953.599999994</v>
      </c>
      <c r="K211" s="71" t="e">
        <f t="shared" si="61"/>
        <v>#REF!</v>
      </c>
      <c r="L211" s="71">
        <f>+L208+L210</f>
        <v>-22998.540000000008</v>
      </c>
      <c r="M211" s="71" t="e">
        <f t="shared" si="59"/>
        <v>#REF!</v>
      </c>
      <c r="N211" s="153">
        <f t="shared" ref="N211:P211" si="62">+N171+N193+N199+N206+N174</f>
        <v>-207452.2</v>
      </c>
      <c r="O211" s="153">
        <f t="shared" si="62"/>
        <v>0</v>
      </c>
      <c r="P211" s="154" t="e">
        <f t="shared" si="62"/>
        <v>#REF!</v>
      </c>
      <c r="Q211" s="151" t="e">
        <f t="shared" si="60"/>
        <v>#REF!</v>
      </c>
      <c r="R211" s="146"/>
      <c r="S211" s="23"/>
      <c r="T211" s="23"/>
      <c r="U211" s="155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</row>
    <row r="212" spans="1:43" ht="15.75" thickBot="1" x14ac:dyDescent="0.25">
      <c r="A212" s="45"/>
      <c r="B212" s="88"/>
      <c r="C212" s="45"/>
      <c r="D212" s="45"/>
      <c r="E212" s="147" t="s">
        <v>430</v>
      </c>
      <c r="F212" s="156">
        <f t="shared" ref="F212:M212" si="63">+F208+F210+F209-F211</f>
        <v>-303704</v>
      </c>
      <c r="G212" s="156">
        <f t="shared" si="63"/>
        <v>0</v>
      </c>
      <c r="H212" s="156">
        <f t="shared" si="63"/>
        <v>0</v>
      </c>
      <c r="I212" s="156">
        <f t="shared" si="63"/>
        <v>0</v>
      </c>
      <c r="J212" s="156">
        <f t="shared" si="63"/>
        <v>1860.0000000074506</v>
      </c>
      <c r="K212" s="157" t="e">
        <f t="shared" si="63"/>
        <v>#REF!</v>
      </c>
      <c r="L212" s="157">
        <f t="shared" si="63"/>
        <v>0</v>
      </c>
      <c r="M212" s="157" t="e">
        <f t="shared" si="63"/>
        <v>#REF!</v>
      </c>
      <c r="N212" s="119">
        <f t="shared" ref="N212:O212" si="64">+N208+N210-N211</f>
        <v>0</v>
      </c>
      <c r="O212" s="119">
        <f t="shared" si="64"/>
        <v>0</v>
      </c>
      <c r="P212" s="120" t="e">
        <f t="shared" ref="P212:Q212" si="65">+P208+P210-P211+P209</f>
        <v>#REF!</v>
      </c>
      <c r="Q212" s="120" t="e">
        <f t="shared" si="65"/>
        <v>#REF!</v>
      </c>
      <c r="R212" s="146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</row>
    <row r="213" spans="1:43" ht="17.25" thickTop="1" thickBot="1" x14ac:dyDescent="0.3">
      <c r="A213" s="158"/>
      <c r="B213" s="159"/>
      <c r="C213" s="158"/>
      <c r="D213" s="160">
        <f>SUMIFS(P2:P177,C2:C177,"S")</f>
        <v>9958279</v>
      </c>
      <c r="E213" s="23" t="s">
        <v>431</v>
      </c>
      <c r="F213" s="23"/>
      <c r="G213" s="161"/>
      <c r="H213" s="162"/>
      <c r="I213" s="162"/>
      <c r="J213" s="162"/>
      <c r="K213" s="158"/>
      <c r="L213" s="23"/>
      <c r="M213" s="23"/>
      <c r="N213" s="23"/>
      <c r="O213" s="23"/>
      <c r="P213" s="23"/>
      <c r="Q213" s="23"/>
      <c r="R213" s="16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</row>
    <row r="214" spans="1:43" ht="15.75" x14ac:dyDescent="0.25">
      <c r="A214" s="158"/>
      <c r="B214" s="159"/>
      <c r="C214" s="158"/>
      <c r="D214" s="159">
        <f>+P47+P77+P58+P107+P71+P177+P88</f>
        <v>1053114.6399999999</v>
      </c>
      <c r="E214" s="164" t="s">
        <v>432</v>
      </c>
      <c r="F214" s="23"/>
      <c r="G214" s="162"/>
      <c r="H214" s="162"/>
      <c r="I214" s="162"/>
      <c r="J214" s="165"/>
      <c r="K214" s="166" t="s">
        <v>433</v>
      </c>
      <c r="L214" s="167" t="s">
        <v>434</v>
      </c>
      <c r="M214" s="23"/>
      <c r="N214" s="23"/>
      <c r="O214" s="23"/>
      <c r="P214" s="23">
        <f>+P208-P171</f>
        <v>0</v>
      </c>
      <c r="Q214" s="34" t="s">
        <v>426</v>
      </c>
      <c r="R214" s="16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</row>
    <row r="215" spans="1:43" ht="16.5" thickBot="1" x14ac:dyDescent="0.3">
      <c r="A215" s="158"/>
      <c r="B215" s="159"/>
      <c r="C215" s="158"/>
      <c r="D215" s="168">
        <f>+D213-D214</f>
        <v>8905164.3599999994</v>
      </c>
      <c r="E215" s="164" t="s">
        <v>435</v>
      </c>
      <c r="F215" s="23"/>
      <c r="G215" s="23"/>
      <c r="H215" s="23"/>
      <c r="I215" s="23"/>
      <c r="J215" s="23"/>
      <c r="K215" s="169">
        <f>+J206+J199+J193+J174+J171</f>
        <v>49431953.599999994</v>
      </c>
      <c r="L215" s="170" t="e">
        <f>+P211</f>
        <v>#REF!</v>
      </c>
      <c r="M215" s="23"/>
      <c r="N215" s="23"/>
      <c r="O215" s="23"/>
      <c r="P215" s="23" t="e">
        <f>+P206+P199+P193+P174-P210</f>
        <v>#REF!</v>
      </c>
      <c r="Q215" s="34" t="s">
        <v>436</v>
      </c>
      <c r="R215" s="16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</row>
    <row r="216" spans="1:43" ht="15.75" thickTop="1" x14ac:dyDescent="0.2">
      <c r="A216" s="158"/>
      <c r="B216" s="159"/>
      <c r="C216" s="158"/>
      <c r="D216" s="159">
        <f>SUM(1853405.55*0.04)+1853405.55</f>
        <v>1927541.7720000001</v>
      </c>
      <c r="E216" s="164" t="s">
        <v>437</v>
      </c>
      <c r="F216" s="23"/>
      <c r="G216" s="23"/>
      <c r="H216" s="23"/>
      <c r="I216" s="23"/>
      <c r="J216" s="23"/>
      <c r="K216" s="171" t="s">
        <v>438</v>
      </c>
      <c r="L216" s="170" t="e">
        <f>+L215-K215</f>
        <v>#REF!</v>
      </c>
      <c r="M216" s="23"/>
      <c r="N216" s="23"/>
      <c r="O216" s="23"/>
      <c r="P216" s="23"/>
      <c r="Q216" s="23"/>
      <c r="R216" s="16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</row>
    <row r="217" spans="1:43" ht="16.5" thickBot="1" x14ac:dyDescent="0.3">
      <c r="A217" s="158"/>
      <c r="B217" s="159"/>
      <c r="C217" s="158"/>
      <c r="D217" s="168">
        <f>+D215+D216</f>
        <v>10832706.131999999</v>
      </c>
      <c r="E217" s="164" t="s">
        <v>439</v>
      </c>
      <c r="F217" s="23"/>
      <c r="G217" s="172"/>
      <c r="H217" s="172"/>
      <c r="I217" s="172"/>
      <c r="J217" s="23"/>
      <c r="K217" s="173" t="s">
        <v>438</v>
      </c>
      <c r="L217" s="174" t="e">
        <f>+L216/K215</f>
        <v>#REF!</v>
      </c>
      <c r="M217" s="23" t="s">
        <v>440</v>
      </c>
      <c r="N217" s="23"/>
      <c r="O217" s="23"/>
      <c r="P217" s="23"/>
      <c r="Q217" s="23"/>
      <c r="R217" s="16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</row>
    <row r="218" spans="1:43" ht="16.5" thickTop="1" x14ac:dyDescent="0.25">
      <c r="A218" s="158"/>
      <c r="B218" s="159"/>
      <c r="C218" s="158"/>
      <c r="D218" s="159"/>
      <c r="E218" s="158"/>
      <c r="F218" s="23"/>
      <c r="G218" s="23"/>
      <c r="H218" s="91"/>
      <c r="I218" s="172"/>
      <c r="J218" s="23"/>
      <c r="K218" s="23"/>
      <c r="L218" s="23"/>
      <c r="M218" s="23"/>
      <c r="N218" s="23"/>
      <c r="O218" s="23"/>
      <c r="P218" s="23"/>
      <c r="Q218" s="23"/>
      <c r="R218" s="16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</row>
    <row r="219" spans="1:43" ht="15.75" x14ac:dyDescent="0.25">
      <c r="A219" s="158"/>
      <c r="B219" s="159"/>
      <c r="C219" s="158"/>
      <c r="D219" s="158"/>
      <c r="E219" s="158"/>
      <c r="F219" s="23"/>
      <c r="G219" s="23"/>
      <c r="H219" s="91"/>
      <c r="I219" s="172"/>
      <c r="J219" s="23"/>
      <c r="K219" s="23"/>
      <c r="L219" s="23"/>
      <c r="M219" s="23"/>
      <c r="N219" s="23"/>
      <c r="O219" s="23"/>
      <c r="P219" s="23"/>
      <c r="Q219" s="34"/>
      <c r="R219" s="16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</row>
    <row r="220" spans="1:43" ht="16.5" thickBot="1" x14ac:dyDescent="0.3">
      <c r="A220" s="158"/>
      <c r="B220" s="159"/>
      <c r="C220" s="158"/>
      <c r="D220" s="158"/>
      <c r="E220" s="158"/>
      <c r="F220" s="23"/>
      <c r="G220" s="23"/>
      <c r="H220" s="91"/>
      <c r="I220" s="172"/>
      <c r="J220" s="23"/>
      <c r="K220" s="23"/>
      <c r="L220" s="23"/>
      <c r="M220" s="23"/>
      <c r="N220" s="23"/>
      <c r="O220" s="23"/>
      <c r="P220" s="23"/>
      <c r="Q220" s="23"/>
      <c r="R220" s="16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</row>
    <row r="221" spans="1:43" ht="16.5" thickBot="1" x14ac:dyDescent="0.3">
      <c r="A221" s="158"/>
      <c r="B221" s="159"/>
      <c r="C221" s="158"/>
      <c r="D221" s="175" t="e">
        <f>+P206+P199+P193+P171-P190-P197-P204</f>
        <v>#REF!</v>
      </c>
      <c r="E221" s="164" t="s">
        <v>441</v>
      </c>
      <c r="F221" s="23"/>
      <c r="G221" s="23"/>
      <c r="H221" s="91"/>
      <c r="I221" s="172"/>
      <c r="J221" s="23"/>
      <c r="K221" s="92" t="s">
        <v>442</v>
      </c>
      <c r="L221" s="94"/>
      <c r="M221" s="23"/>
      <c r="N221" s="23"/>
      <c r="O221" s="23"/>
      <c r="P221" s="23"/>
      <c r="Q221" s="23"/>
      <c r="R221" s="16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</row>
    <row r="222" spans="1:43" ht="16.5" thickTop="1" x14ac:dyDescent="0.25">
      <c r="A222" s="158"/>
      <c r="B222" s="159"/>
      <c r="C222" s="158"/>
      <c r="D222" s="158"/>
      <c r="E222" s="164" t="s">
        <v>443</v>
      </c>
      <c r="F222" s="23"/>
      <c r="G222" s="23"/>
      <c r="H222" s="91"/>
      <c r="I222" s="172"/>
      <c r="J222" s="23"/>
      <c r="K222" s="169">
        <v>931266</v>
      </c>
      <c r="L222" s="170" t="s">
        <v>444</v>
      </c>
      <c r="M222" s="23"/>
      <c r="N222" s="23"/>
      <c r="O222" s="23"/>
      <c r="P222" s="23"/>
      <c r="Q222" s="23"/>
      <c r="R222" s="16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</row>
    <row r="223" spans="1:43" ht="15.75" x14ac:dyDescent="0.25">
      <c r="A223" s="158"/>
      <c r="B223" s="159"/>
      <c r="C223" s="158"/>
      <c r="D223" s="158"/>
      <c r="E223" s="158"/>
      <c r="F223" s="23"/>
      <c r="G223" s="23"/>
      <c r="H223" s="23"/>
      <c r="I223" s="172"/>
      <c r="J223" s="23"/>
      <c r="K223" s="169">
        <v>268962</v>
      </c>
      <c r="L223" s="170" t="s">
        <v>445</v>
      </c>
      <c r="M223" s="23"/>
      <c r="N223" s="23"/>
      <c r="O223" s="23"/>
      <c r="P223" s="23"/>
      <c r="Q223" s="23"/>
      <c r="R223" s="16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</row>
    <row r="224" spans="1:43" ht="15.75" x14ac:dyDescent="0.25">
      <c r="A224" s="158"/>
      <c r="B224" s="159"/>
      <c r="C224" s="158"/>
      <c r="D224" s="158"/>
      <c r="E224" s="158"/>
      <c r="F224" s="23"/>
      <c r="G224" s="23"/>
      <c r="H224" s="23"/>
      <c r="I224" s="172"/>
      <c r="J224" s="23"/>
      <c r="K224" s="169">
        <f>216894.09</f>
        <v>216894.09</v>
      </c>
      <c r="L224" s="170" t="s">
        <v>446</v>
      </c>
      <c r="M224" s="23"/>
      <c r="N224" s="23"/>
      <c r="O224" s="23"/>
      <c r="P224" s="23"/>
      <c r="Q224" s="23"/>
      <c r="R224" s="16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</row>
    <row r="225" spans="1:43" ht="15" x14ac:dyDescent="0.2">
      <c r="A225" s="158"/>
      <c r="B225" s="159"/>
      <c r="C225" s="158"/>
      <c r="D225" s="158"/>
      <c r="E225" s="158"/>
      <c r="F225" s="23"/>
      <c r="G225" s="23"/>
      <c r="H225" s="23"/>
      <c r="I225" s="23"/>
      <c r="J225" s="23"/>
      <c r="K225" s="169">
        <v>254975.27</v>
      </c>
      <c r="L225" s="170" t="s">
        <v>447</v>
      </c>
      <c r="M225" s="23"/>
      <c r="N225" s="23"/>
      <c r="O225" s="23"/>
      <c r="P225" s="23"/>
      <c r="Q225" s="23"/>
      <c r="R225" s="16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</row>
    <row r="226" spans="1:43" ht="15" x14ac:dyDescent="0.2">
      <c r="A226" s="158"/>
      <c r="B226" s="159"/>
      <c r="C226" s="158"/>
      <c r="D226" s="158"/>
      <c r="E226" s="158"/>
      <c r="F226" s="23"/>
      <c r="G226" s="23"/>
      <c r="H226" s="23"/>
      <c r="I226" s="23"/>
      <c r="J226" s="23"/>
      <c r="K226" s="169">
        <v>403266.63</v>
      </c>
      <c r="L226" s="170" t="s">
        <v>448</v>
      </c>
      <c r="M226" s="23"/>
      <c r="N226" s="23"/>
      <c r="O226" s="23"/>
      <c r="P226" s="23"/>
      <c r="Q226" s="23"/>
      <c r="R226" s="16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</row>
    <row r="227" spans="1:43" ht="15" x14ac:dyDescent="0.2">
      <c r="A227" s="158"/>
      <c r="B227" s="159"/>
      <c r="C227" s="158"/>
      <c r="D227" s="158"/>
      <c r="E227" s="158"/>
      <c r="F227" s="23"/>
      <c r="G227" s="23"/>
      <c r="H227" s="23"/>
      <c r="I227" s="23"/>
      <c r="J227" s="23"/>
      <c r="K227" s="169">
        <v>171150.1</v>
      </c>
      <c r="L227" s="170" t="s">
        <v>449</v>
      </c>
      <c r="M227" s="23"/>
      <c r="N227" s="23"/>
      <c r="O227" s="23"/>
      <c r="P227" s="23"/>
      <c r="Q227" s="23"/>
      <c r="R227" s="16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</row>
    <row r="228" spans="1:43" ht="15" x14ac:dyDescent="0.2">
      <c r="A228" s="158"/>
      <c r="B228" s="159"/>
      <c r="C228" s="158"/>
      <c r="D228" s="158"/>
      <c r="E228" s="158"/>
      <c r="F228" s="23"/>
      <c r="G228" s="23"/>
      <c r="H228" s="23"/>
      <c r="I228" s="23"/>
      <c r="J228" s="23"/>
      <c r="K228" s="169">
        <v>210907.63</v>
      </c>
      <c r="L228" s="170" t="s">
        <v>450</v>
      </c>
      <c r="M228" s="23"/>
      <c r="N228" s="23"/>
      <c r="O228" s="23"/>
      <c r="P228" s="23"/>
      <c r="Q228" s="23"/>
      <c r="R228" s="16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</row>
    <row r="229" spans="1:43" ht="15" x14ac:dyDescent="0.2">
      <c r="A229" s="158"/>
      <c r="B229" s="159"/>
      <c r="C229" s="158"/>
      <c r="D229" s="158"/>
      <c r="E229" s="158"/>
      <c r="F229" s="23"/>
      <c r="G229" s="23"/>
      <c r="H229" s="23"/>
      <c r="I229" s="23"/>
      <c r="J229" s="23"/>
      <c r="K229" s="169">
        <v>3196455.44</v>
      </c>
      <c r="L229" s="170" t="s">
        <v>451</v>
      </c>
      <c r="M229" s="23"/>
      <c r="N229" s="23"/>
      <c r="O229" s="23"/>
      <c r="P229" s="23"/>
      <c r="Q229" s="23"/>
      <c r="R229" s="16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</row>
    <row r="230" spans="1:43" ht="15" x14ac:dyDescent="0.2">
      <c r="A230" s="158"/>
      <c r="B230" s="159"/>
      <c r="C230" s="158"/>
      <c r="D230" s="158"/>
      <c r="E230" s="158"/>
      <c r="F230" s="23"/>
      <c r="G230" s="23"/>
      <c r="H230" s="23"/>
      <c r="I230" s="23"/>
      <c r="J230" s="23"/>
      <c r="K230" s="169">
        <v>2497742</v>
      </c>
      <c r="L230" s="170" t="s">
        <v>452</v>
      </c>
      <c r="M230" s="23"/>
      <c r="N230" s="23"/>
      <c r="O230" s="23"/>
      <c r="P230" s="23"/>
      <c r="Q230" s="23"/>
      <c r="R230" s="16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</row>
    <row r="231" spans="1:43" ht="15" x14ac:dyDescent="0.2">
      <c r="A231" s="158"/>
      <c r="B231" s="159"/>
      <c r="C231" s="158"/>
      <c r="D231" s="158"/>
      <c r="E231" s="158"/>
      <c r="F231" s="23"/>
      <c r="G231" s="23"/>
      <c r="H231" s="23"/>
      <c r="I231" s="23"/>
      <c r="J231" s="23"/>
      <c r="K231" s="169">
        <v>1063436.43</v>
      </c>
      <c r="L231" s="170" t="s">
        <v>453</v>
      </c>
      <c r="M231" s="23"/>
      <c r="N231" s="23"/>
      <c r="O231" s="23"/>
      <c r="P231" s="23"/>
      <c r="Q231" s="23"/>
      <c r="R231" s="16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</row>
    <row r="232" spans="1:43" ht="15" x14ac:dyDescent="0.2">
      <c r="A232" s="158"/>
      <c r="B232" s="159"/>
      <c r="C232" s="158"/>
      <c r="D232" s="158"/>
      <c r="E232" s="158"/>
      <c r="F232" s="23"/>
      <c r="G232" s="23"/>
      <c r="H232" s="23"/>
      <c r="I232" s="23"/>
      <c r="J232" s="23"/>
      <c r="K232" s="169">
        <v>339784.04</v>
      </c>
      <c r="L232" s="170" t="s">
        <v>454</v>
      </c>
      <c r="M232" s="23"/>
      <c r="N232" s="23"/>
      <c r="O232" s="23"/>
      <c r="P232" s="23"/>
      <c r="Q232" s="23"/>
      <c r="R232" s="16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</row>
    <row r="233" spans="1:43" ht="15" x14ac:dyDescent="0.2">
      <c r="A233" s="158"/>
      <c r="B233" s="159"/>
      <c r="C233" s="158"/>
      <c r="D233" s="158"/>
      <c r="E233" s="158"/>
      <c r="F233" s="23"/>
      <c r="G233" s="23"/>
      <c r="H233" s="23"/>
      <c r="I233" s="23"/>
      <c r="J233" s="23"/>
      <c r="K233" s="169">
        <v>3000</v>
      </c>
      <c r="L233" s="170" t="s">
        <v>455</v>
      </c>
      <c r="M233" s="23"/>
      <c r="N233" s="23"/>
      <c r="O233" s="23"/>
      <c r="P233" s="23"/>
      <c r="Q233" s="23"/>
      <c r="R233" s="16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</row>
    <row r="234" spans="1:43" ht="15" x14ac:dyDescent="0.2">
      <c r="A234" s="158"/>
      <c r="B234" s="159"/>
      <c r="C234" s="158"/>
      <c r="D234" s="158"/>
      <c r="E234" s="158"/>
      <c r="F234" s="23"/>
      <c r="G234" s="23"/>
      <c r="H234" s="23"/>
      <c r="I234" s="23"/>
      <c r="J234" s="23"/>
      <c r="K234" s="169">
        <v>391790.2</v>
      </c>
      <c r="L234" s="170" t="s">
        <v>456</v>
      </c>
      <c r="M234" s="23"/>
      <c r="N234" s="23"/>
      <c r="O234" s="23"/>
      <c r="P234" s="23"/>
      <c r="Q234" s="23"/>
      <c r="R234" s="16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</row>
    <row r="235" spans="1:43" ht="15" x14ac:dyDescent="0.2">
      <c r="A235" s="158"/>
      <c r="B235" s="159"/>
      <c r="C235" s="158"/>
      <c r="D235" s="158"/>
      <c r="E235" s="158"/>
      <c r="F235" s="23"/>
      <c r="G235" s="23"/>
      <c r="H235" s="23"/>
      <c r="I235" s="23"/>
      <c r="J235" s="23"/>
      <c r="K235" s="169">
        <v>0</v>
      </c>
      <c r="L235" s="170" t="s">
        <v>457</v>
      </c>
      <c r="M235" s="23"/>
      <c r="N235" s="23"/>
      <c r="O235" s="23"/>
      <c r="P235" s="23"/>
      <c r="Q235" s="23"/>
      <c r="R235" s="16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</row>
    <row r="236" spans="1:43" ht="15" x14ac:dyDescent="0.2">
      <c r="A236" s="158"/>
      <c r="B236" s="159"/>
      <c r="C236" s="158"/>
      <c r="D236" s="158"/>
      <c r="E236" s="158"/>
      <c r="F236" s="23"/>
      <c r="G236" s="23"/>
      <c r="H236" s="23"/>
      <c r="I236" s="23"/>
      <c r="J236" s="23"/>
      <c r="K236" s="169">
        <v>1000</v>
      </c>
      <c r="L236" s="170" t="s">
        <v>458</v>
      </c>
      <c r="M236" s="23"/>
      <c r="N236" s="23"/>
      <c r="O236" s="23"/>
      <c r="P236" s="23"/>
      <c r="Q236" s="23"/>
      <c r="R236" s="16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</row>
    <row r="237" spans="1:43" ht="15" x14ac:dyDescent="0.2">
      <c r="A237" s="158"/>
      <c r="B237" s="159"/>
      <c r="C237" s="158"/>
      <c r="D237" s="158"/>
      <c r="E237" s="158"/>
      <c r="F237" s="23"/>
      <c r="G237" s="23"/>
      <c r="H237" s="23"/>
      <c r="I237" s="23"/>
      <c r="J237" s="23"/>
      <c r="K237" s="169">
        <v>2399401</v>
      </c>
      <c r="L237" s="170" t="s">
        <v>459</v>
      </c>
      <c r="M237" s="23"/>
      <c r="N237" s="23"/>
      <c r="O237" s="23"/>
      <c r="P237" s="23"/>
      <c r="Q237" s="23"/>
      <c r="R237" s="16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</row>
    <row r="238" spans="1:43" ht="15" x14ac:dyDescent="0.2">
      <c r="A238" s="158"/>
      <c r="B238" s="158"/>
      <c r="C238" s="158"/>
      <c r="D238" s="158"/>
      <c r="E238" s="158"/>
      <c r="F238" s="23"/>
      <c r="G238" s="23"/>
      <c r="H238" s="23"/>
      <c r="I238" s="23"/>
      <c r="J238" s="23"/>
      <c r="K238" s="169">
        <v>1823244.7</v>
      </c>
      <c r="L238" s="170" t="s">
        <v>460</v>
      </c>
      <c r="M238" s="23"/>
      <c r="N238" s="23"/>
      <c r="O238" s="23"/>
      <c r="P238" s="23"/>
      <c r="Q238" s="23"/>
      <c r="R238" s="16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</row>
    <row r="239" spans="1:43" ht="15" x14ac:dyDescent="0.2">
      <c r="A239" s="158"/>
      <c r="B239" s="158"/>
      <c r="C239" s="158"/>
      <c r="D239" s="158"/>
      <c r="E239" s="158"/>
      <c r="F239" s="23"/>
      <c r="G239" s="23"/>
      <c r="H239" s="23"/>
      <c r="I239" s="23"/>
      <c r="J239" s="23"/>
      <c r="K239" s="169">
        <v>16001785</v>
      </c>
      <c r="L239" s="170" t="s">
        <v>461</v>
      </c>
      <c r="M239" s="23"/>
      <c r="N239" s="23"/>
      <c r="O239" s="23"/>
      <c r="P239" s="23"/>
      <c r="Q239" s="23"/>
      <c r="R239" s="16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</row>
    <row r="240" spans="1:43" ht="15" x14ac:dyDescent="0.2">
      <c r="A240" s="158"/>
      <c r="B240" s="158"/>
      <c r="C240" s="158"/>
      <c r="D240" s="158"/>
      <c r="E240" s="158"/>
      <c r="F240" s="23"/>
      <c r="G240" s="23"/>
      <c r="H240" s="23"/>
      <c r="I240" s="23"/>
      <c r="J240" s="23"/>
      <c r="K240" s="169">
        <v>153608.95999999999</v>
      </c>
      <c r="L240" s="170" t="s">
        <v>462</v>
      </c>
      <c r="M240" s="23"/>
      <c r="N240" s="23"/>
      <c r="O240" s="23"/>
      <c r="P240" s="23"/>
      <c r="Q240" s="23"/>
      <c r="R240" s="16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</row>
    <row r="241" spans="1:43" ht="15" x14ac:dyDescent="0.2">
      <c r="A241" s="158"/>
      <c r="B241" s="158"/>
      <c r="C241" s="158"/>
      <c r="D241" s="158"/>
      <c r="E241" s="158"/>
      <c r="F241" s="23"/>
      <c r="G241" s="23"/>
      <c r="H241" s="23"/>
      <c r="I241" s="23"/>
      <c r="J241" s="23"/>
      <c r="K241" s="169">
        <v>90648.99</v>
      </c>
      <c r="L241" s="170" t="s">
        <v>463</v>
      </c>
      <c r="M241" s="23"/>
      <c r="N241" s="23"/>
      <c r="O241" s="23"/>
      <c r="P241" s="23"/>
      <c r="Q241" s="23"/>
      <c r="R241" s="16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</row>
    <row r="242" spans="1:43" ht="15" x14ac:dyDescent="0.2">
      <c r="A242" s="158"/>
      <c r="B242" s="158"/>
      <c r="C242" s="158"/>
      <c r="D242" s="158"/>
      <c r="E242" s="158"/>
      <c r="F242" s="23"/>
      <c r="G242" s="23"/>
      <c r="H242" s="23"/>
      <c r="I242" s="23"/>
      <c r="J242" s="23"/>
      <c r="K242" s="169">
        <v>500394</v>
      </c>
      <c r="L242" s="170" t="s">
        <v>464</v>
      </c>
      <c r="M242" s="23"/>
      <c r="N242" s="23"/>
      <c r="O242" s="23"/>
      <c r="P242" s="23"/>
      <c r="Q242" s="23"/>
      <c r="R242" s="16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</row>
    <row r="243" spans="1:43" ht="15" x14ac:dyDescent="0.2">
      <c r="A243" s="158"/>
      <c r="B243" s="158"/>
      <c r="C243" s="158"/>
      <c r="D243" s="158"/>
      <c r="E243" s="158"/>
      <c r="F243" s="23"/>
      <c r="G243" s="23"/>
      <c r="H243" s="23"/>
      <c r="I243" s="23"/>
      <c r="J243" s="23"/>
      <c r="K243" s="169">
        <f>5272620.63+334578.2-53600-150000-891491.72-154786.59+15000</f>
        <v>4372320.5200000005</v>
      </c>
      <c r="L243" s="170" t="s">
        <v>465</v>
      </c>
      <c r="M243" s="23"/>
      <c r="N243" s="23"/>
      <c r="O243" s="23"/>
      <c r="P243" s="23"/>
      <c r="Q243" s="23"/>
      <c r="R243" s="16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</row>
    <row r="244" spans="1:43" ht="15" x14ac:dyDescent="0.2">
      <c r="A244" s="158"/>
      <c r="B244" s="158"/>
      <c r="C244" s="158"/>
      <c r="D244" s="158"/>
      <c r="E244" s="158"/>
      <c r="F244" s="23"/>
      <c r="G244" s="23"/>
      <c r="H244" s="23"/>
      <c r="I244" s="23"/>
      <c r="J244" s="23"/>
      <c r="K244" s="169">
        <f>8440186.2-2399401</f>
        <v>6040785.1999999993</v>
      </c>
      <c r="L244" s="170" t="s">
        <v>466</v>
      </c>
      <c r="M244" s="23"/>
      <c r="N244" s="23"/>
      <c r="O244" s="23"/>
      <c r="P244" s="23"/>
      <c r="Q244" s="23"/>
      <c r="R244" s="16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</row>
    <row r="245" spans="1:43" ht="15" x14ac:dyDescent="0.2">
      <c r="A245" s="158"/>
      <c r="B245" s="158"/>
      <c r="C245" s="158"/>
      <c r="D245" s="158"/>
      <c r="E245" s="158"/>
      <c r="F245" s="23"/>
      <c r="G245" s="23"/>
      <c r="H245" s="23"/>
      <c r="I245" s="23"/>
      <c r="J245" s="23"/>
      <c r="K245" s="169">
        <v>1859725.73</v>
      </c>
      <c r="L245" s="170" t="s">
        <v>467</v>
      </c>
      <c r="M245" s="23"/>
      <c r="N245" s="23"/>
      <c r="O245" s="23"/>
      <c r="P245" s="23"/>
      <c r="Q245" s="23"/>
      <c r="R245" s="16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</row>
    <row r="246" spans="1:43" ht="15" x14ac:dyDescent="0.2">
      <c r="A246" s="158"/>
      <c r="B246" s="158"/>
      <c r="C246" s="158"/>
      <c r="D246" s="158"/>
      <c r="E246" s="158"/>
      <c r="F246" s="23"/>
      <c r="G246" s="23"/>
      <c r="H246" s="23"/>
      <c r="I246" s="23"/>
      <c r="J246" s="23"/>
      <c r="K246" s="169">
        <v>0</v>
      </c>
      <c r="L246" s="170" t="s">
        <v>468</v>
      </c>
      <c r="M246" s="23"/>
      <c r="N246" s="23"/>
      <c r="O246" s="23"/>
      <c r="P246" s="23"/>
      <c r="Q246" s="23"/>
      <c r="R246" s="16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</row>
    <row r="247" spans="1:43" ht="15" x14ac:dyDescent="0.2">
      <c r="A247" s="158"/>
      <c r="B247" s="158"/>
      <c r="C247" s="158"/>
      <c r="D247" s="158"/>
      <c r="E247" s="158"/>
      <c r="F247" s="23"/>
      <c r="G247" s="23"/>
      <c r="H247" s="23"/>
      <c r="I247" s="23"/>
      <c r="J247" s="23"/>
      <c r="K247" s="169">
        <v>0</v>
      </c>
      <c r="L247" s="170" t="s">
        <v>469</v>
      </c>
      <c r="M247" s="23"/>
      <c r="N247" s="23"/>
      <c r="O247" s="23"/>
      <c r="P247" s="23"/>
      <c r="Q247" s="23"/>
      <c r="R247" s="16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</row>
    <row r="248" spans="1:43" ht="15" x14ac:dyDescent="0.2">
      <c r="A248" s="158"/>
      <c r="B248" s="158"/>
      <c r="C248" s="158"/>
      <c r="D248" s="158"/>
      <c r="E248" s="158"/>
      <c r="F248" s="23"/>
      <c r="G248" s="23"/>
      <c r="H248" s="23"/>
      <c r="I248" s="23"/>
      <c r="J248" s="23"/>
      <c r="K248" s="169">
        <v>81469.399999999994</v>
      </c>
      <c r="L248" s="170" t="s">
        <v>470</v>
      </c>
      <c r="M248" s="23"/>
      <c r="N248" s="23"/>
      <c r="O248" s="23"/>
      <c r="P248" s="23"/>
      <c r="Q248" s="23"/>
      <c r="R248" s="16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</row>
    <row r="249" spans="1:43" ht="15" x14ac:dyDescent="0.2">
      <c r="A249" s="158"/>
      <c r="B249" s="158"/>
      <c r="C249" s="158"/>
      <c r="D249" s="158"/>
      <c r="E249" s="158"/>
      <c r="F249" s="23"/>
      <c r="G249" s="23"/>
      <c r="H249" s="23"/>
      <c r="I249" s="23"/>
      <c r="J249" s="23"/>
      <c r="K249" s="169">
        <f>600+300000</f>
        <v>300600</v>
      </c>
      <c r="L249" s="170" t="s">
        <v>471</v>
      </c>
      <c r="M249" s="23"/>
      <c r="N249" s="23"/>
      <c r="O249" s="23"/>
      <c r="P249" s="23"/>
      <c r="Q249" s="23"/>
      <c r="R249" s="16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</row>
    <row r="250" spans="1:43" ht="15.75" thickBot="1" x14ac:dyDescent="0.25">
      <c r="A250" s="158"/>
      <c r="B250" s="158"/>
      <c r="C250" s="158"/>
      <c r="D250" s="158"/>
      <c r="E250" s="158"/>
      <c r="F250" s="23"/>
      <c r="G250" s="23"/>
      <c r="H250" s="23"/>
      <c r="I250" s="23"/>
      <c r="J250" s="23"/>
      <c r="K250" s="176">
        <f>SUM(K222:K249)</f>
        <v>43574613.329999998</v>
      </c>
      <c r="L250" s="170"/>
      <c r="M250" s="23"/>
      <c r="N250" s="23"/>
      <c r="O250" s="23"/>
      <c r="P250" s="23"/>
      <c r="Q250" s="23"/>
      <c r="R250" s="16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</row>
    <row r="251" spans="1:43" ht="16.5" thickTop="1" thickBot="1" x14ac:dyDescent="0.25">
      <c r="A251" s="158"/>
      <c r="B251" s="158"/>
      <c r="C251" s="158"/>
      <c r="D251" s="158"/>
      <c r="E251" s="158"/>
      <c r="F251" s="23"/>
      <c r="G251" s="23"/>
      <c r="H251" s="23"/>
      <c r="I251" s="23"/>
      <c r="J251" s="23"/>
      <c r="K251" s="177">
        <f>+K250-K171</f>
        <v>0</v>
      </c>
      <c r="L251" s="178" t="s">
        <v>472</v>
      </c>
      <c r="M251" s="23"/>
      <c r="N251" s="23"/>
      <c r="O251" s="23"/>
      <c r="P251" s="23"/>
      <c r="Q251" s="23"/>
      <c r="R251" s="16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</row>
    <row r="252" spans="1:43" ht="15" x14ac:dyDescent="0.2">
      <c r="A252" s="158"/>
      <c r="B252" s="158"/>
      <c r="C252" s="158"/>
      <c r="D252" s="158"/>
      <c r="E252" s="158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16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</row>
    <row r="253" spans="1:43" ht="15" x14ac:dyDescent="0.2">
      <c r="A253" s="158"/>
      <c r="B253" s="158"/>
      <c r="C253" s="158"/>
      <c r="D253" s="158"/>
      <c r="E253" s="158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16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</row>
    <row r="254" spans="1:43" ht="15" x14ac:dyDescent="0.2">
      <c r="A254" s="158"/>
      <c r="B254" s="158"/>
      <c r="C254" s="158"/>
      <c r="D254" s="158"/>
      <c r="E254" s="158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16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</row>
    <row r="255" spans="1:43" ht="15" x14ac:dyDescent="0.2">
      <c r="A255" s="158"/>
      <c r="B255" s="158"/>
      <c r="C255" s="158"/>
      <c r="D255" s="158"/>
      <c r="E255" s="158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16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</row>
    <row r="256" spans="1:43" ht="15" x14ac:dyDescent="0.2">
      <c r="A256" s="158"/>
      <c r="B256" s="158"/>
      <c r="C256" s="158"/>
      <c r="D256" s="158"/>
      <c r="E256" s="158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16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</row>
    <row r="257" spans="1:43" ht="15" x14ac:dyDescent="0.2">
      <c r="A257" s="158"/>
      <c r="B257" s="158"/>
      <c r="C257" s="158"/>
      <c r="D257" s="158"/>
      <c r="E257" s="158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16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</row>
    <row r="258" spans="1:43" ht="15" x14ac:dyDescent="0.2">
      <c r="A258" s="158"/>
      <c r="B258" s="158"/>
      <c r="C258" s="158"/>
      <c r="D258" s="158"/>
      <c r="E258" s="158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16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</row>
    <row r="259" spans="1:43" ht="15" x14ac:dyDescent="0.2">
      <c r="A259" s="158"/>
      <c r="B259" s="158"/>
      <c r="C259" s="158"/>
      <c r="D259" s="158"/>
      <c r="E259" s="158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16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</row>
    <row r="260" spans="1:43" ht="15" x14ac:dyDescent="0.2">
      <c r="A260" s="158"/>
      <c r="B260" s="158"/>
      <c r="C260" s="158"/>
      <c r="D260" s="158"/>
      <c r="E260" s="158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16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</row>
    <row r="261" spans="1:43" ht="15" x14ac:dyDescent="0.2">
      <c r="A261" s="158"/>
      <c r="B261" s="158"/>
      <c r="C261" s="158"/>
      <c r="D261" s="158"/>
      <c r="E261" s="158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16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</row>
    <row r="262" spans="1:43" ht="15" x14ac:dyDescent="0.2">
      <c r="A262" s="158"/>
      <c r="B262" s="158"/>
      <c r="C262" s="158"/>
      <c r="D262" s="158"/>
      <c r="E262" s="158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16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</row>
    <row r="263" spans="1:43" ht="15" x14ac:dyDescent="0.2">
      <c r="A263" s="158"/>
      <c r="B263" s="158"/>
      <c r="C263" s="158"/>
      <c r="D263" s="158"/>
      <c r="E263" s="158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16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</row>
    <row r="264" spans="1:43" ht="15" x14ac:dyDescent="0.2">
      <c r="A264" s="158"/>
      <c r="B264" s="158"/>
      <c r="C264" s="158"/>
      <c r="D264" s="158"/>
      <c r="E264" s="158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16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</row>
    <row r="265" spans="1:43" ht="15" x14ac:dyDescent="0.2">
      <c r="A265" s="158"/>
      <c r="B265" s="158"/>
      <c r="C265" s="158"/>
      <c r="D265" s="158"/>
      <c r="E265" s="158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16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</row>
    <row r="266" spans="1:43" ht="15" x14ac:dyDescent="0.2">
      <c r="A266" s="158"/>
      <c r="B266" s="158"/>
      <c r="C266" s="158"/>
      <c r="D266" s="158"/>
      <c r="E266" s="158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16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</row>
    <row r="267" spans="1:43" ht="15" x14ac:dyDescent="0.2">
      <c r="A267" s="158"/>
      <c r="B267" s="158"/>
      <c r="C267" s="158"/>
      <c r="D267" s="158"/>
      <c r="E267" s="158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16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</row>
    <row r="268" spans="1:43" ht="15" x14ac:dyDescent="0.2">
      <c r="A268" s="158"/>
      <c r="B268" s="158"/>
      <c r="C268" s="158"/>
      <c r="D268" s="158"/>
      <c r="E268" s="158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16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</row>
    <row r="269" spans="1:43" ht="15" x14ac:dyDescent="0.2">
      <c r="A269" s="158"/>
      <c r="B269" s="158"/>
      <c r="C269" s="158"/>
      <c r="D269" s="158"/>
      <c r="E269" s="158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16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</row>
    <row r="270" spans="1:43" ht="15" x14ac:dyDescent="0.2">
      <c r="A270" s="158"/>
      <c r="B270" s="158"/>
      <c r="C270" s="158"/>
      <c r="D270" s="158"/>
      <c r="E270" s="158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16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</row>
    <row r="271" spans="1:43" ht="15" x14ac:dyDescent="0.2">
      <c r="A271" s="158"/>
      <c r="B271" s="158"/>
      <c r="C271" s="158"/>
      <c r="D271" s="158"/>
      <c r="E271" s="158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16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</row>
    <row r="272" spans="1:43" ht="15" x14ac:dyDescent="0.2">
      <c r="A272" s="158"/>
      <c r="B272" s="158"/>
      <c r="C272" s="158"/>
      <c r="D272" s="158"/>
      <c r="E272" s="158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16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</row>
    <row r="273" spans="1:43" ht="15" x14ac:dyDescent="0.2">
      <c r="A273" s="158"/>
      <c r="B273" s="158"/>
      <c r="C273" s="158"/>
      <c r="D273" s="158"/>
      <c r="E273" s="158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16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</row>
    <row r="274" spans="1:43" ht="15" x14ac:dyDescent="0.2">
      <c r="A274" s="158"/>
      <c r="B274" s="158"/>
      <c r="C274" s="158"/>
      <c r="D274" s="158"/>
      <c r="E274" s="158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16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</row>
    <row r="275" spans="1:43" ht="15" x14ac:dyDescent="0.2">
      <c r="A275" s="158"/>
      <c r="B275" s="158"/>
      <c r="C275" s="158"/>
      <c r="D275" s="158"/>
      <c r="E275" s="158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16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</row>
    <row r="276" spans="1:43" ht="15" x14ac:dyDescent="0.2">
      <c r="A276" s="158"/>
      <c r="B276" s="158"/>
      <c r="C276" s="158"/>
      <c r="D276" s="158"/>
      <c r="E276" s="158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16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</row>
    <row r="277" spans="1:43" ht="15" x14ac:dyDescent="0.2">
      <c r="A277" s="158"/>
      <c r="B277" s="158"/>
      <c r="C277" s="158"/>
      <c r="D277" s="158"/>
      <c r="E277" s="158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16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</row>
    <row r="278" spans="1:43" ht="15" x14ac:dyDescent="0.2">
      <c r="A278" s="158"/>
      <c r="B278" s="158"/>
      <c r="C278" s="158"/>
      <c r="D278" s="158"/>
      <c r="E278" s="158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16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</row>
    <row r="279" spans="1:43" ht="15" x14ac:dyDescent="0.2">
      <c r="A279" s="158"/>
      <c r="B279" s="158"/>
      <c r="C279" s="158"/>
      <c r="D279" s="158"/>
      <c r="E279" s="158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16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</row>
    <row r="280" spans="1:43" ht="15" x14ac:dyDescent="0.2">
      <c r="A280" s="158"/>
      <c r="B280" s="158"/>
      <c r="C280" s="158"/>
      <c r="D280" s="158"/>
      <c r="E280" s="158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16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</row>
    <row r="281" spans="1:43" ht="15" x14ac:dyDescent="0.2">
      <c r="A281" s="158"/>
      <c r="B281" s="158"/>
      <c r="C281" s="158"/>
      <c r="D281" s="158"/>
      <c r="E281" s="158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16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</row>
    <row r="282" spans="1:43" ht="15" x14ac:dyDescent="0.2">
      <c r="A282" s="158"/>
      <c r="B282" s="158"/>
      <c r="C282" s="158"/>
      <c r="D282" s="158"/>
      <c r="E282" s="158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16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</row>
    <row r="283" spans="1:43" ht="15" x14ac:dyDescent="0.2">
      <c r="A283" s="158"/>
      <c r="B283" s="158"/>
      <c r="C283" s="158"/>
      <c r="D283" s="158"/>
      <c r="E283" s="158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16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</row>
    <row r="284" spans="1:43" ht="15" x14ac:dyDescent="0.2">
      <c r="A284" s="158"/>
      <c r="B284" s="158"/>
      <c r="C284" s="158"/>
      <c r="D284" s="158"/>
      <c r="E284" s="158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16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</row>
    <row r="285" spans="1:43" ht="15" x14ac:dyDescent="0.2">
      <c r="A285" s="158"/>
      <c r="B285" s="158"/>
      <c r="C285" s="158"/>
      <c r="D285" s="158"/>
      <c r="E285" s="158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16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</row>
    <row r="286" spans="1:43" ht="15" x14ac:dyDescent="0.2">
      <c r="A286" s="158"/>
      <c r="B286" s="158"/>
      <c r="C286" s="158"/>
      <c r="D286" s="158"/>
      <c r="E286" s="158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16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</row>
    <row r="287" spans="1:43" ht="15" x14ac:dyDescent="0.2">
      <c r="A287" s="158"/>
      <c r="B287" s="158"/>
      <c r="C287" s="158"/>
      <c r="D287" s="158"/>
      <c r="E287" s="158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16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</row>
    <row r="288" spans="1:43" ht="15" x14ac:dyDescent="0.2">
      <c r="A288" s="158"/>
      <c r="B288" s="158"/>
      <c r="C288" s="158"/>
      <c r="D288" s="158"/>
      <c r="E288" s="158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16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</row>
    <row r="289" spans="1:43" ht="15" x14ac:dyDescent="0.2">
      <c r="A289" s="158"/>
      <c r="B289" s="158"/>
      <c r="C289" s="158"/>
      <c r="D289" s="158"/>
      <c r="E289" s="158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16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</row>
    <row r="290" spans="1:43" ht="15" x14ac:dyDescent="0.2">
      <c r="A290" s="158"/>
      <c r="B290" s="158"/>
      <c r="C290" s="158"/>
      <c r="D290" s="158"/>
      <c r="E290" s="158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16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</row>
    <row r="291" spans="1:43" ht="15" x14ac:dyDescent="0.2">
      <c r="A291" s="158"/>
      <c r="B291" s="158"/>
      <c r="C291" s="158"/>
      <c r="D291" s="158"/>
      <c r="E291" s="158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16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</row>
    <row r="292" spans="1:43" ht="15" x14ac:dyDescent="0.2">
      <c r="A292" s="158"/>
      <c r="B292" s="158"/>
      <c r="C292" s="158"/>
      <c r="D292" s="158"/>
      <c r="E292" s="158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16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</row>
    <row r="293" spans="1:43" ht="15" x14ac:dyDescent="0.2">
      <c r="A293" s="158"/>
      <c r="B293" s="158"/>
      <c r="C293" s="158"/>
      <c r="D293" s="158"/>
      <c r="E293" s="158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16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</row>
    <row r="294" spans="1:43" ht="15" x14ac:dyDescent="0.2">
      <c r="A294" s="158"/>
      <c r="B294" s="158"/>
      <c r="C294" s="158"/>
      <c r="D294" s="158"/>
      <c r="E294" s="158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16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</row>
    <row r="295" spans="1:43" ht="15" x14ac:dyDescent="0.2">
      <c r="A295" s="158"/>
      <c r="B295" s="158"/>
      <c r="C295" s="158"/>
      <c r="D295" s="158"/>
      <c r="E295" s="158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16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</row>
    <row r="296" spans="1:43" ht="15" x14ac:dyDescent="0.2">
      <c r="A296" s="158"/>
      <c r="B296" s="158"/>
      <c r="C296" s="158"/>
      <c r="D296" s="158"/>
      <c r="E296" s="158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16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</row>
    <row r="297" spans="1:43" ht="15" x14ac:dyDescent="0.2">
      <c r="A297" s="158"/>
      <c r="B297" s="158"/>
      <c r="C297" s="158"/>
      <c r="D297" s="158"/>
      <c r="E297" s="158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16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</row>
    <row r="298" spans="1:43" ht="15" x14ac:dyDescent="0.2">
      <c r="A298" s="158"/>
      <c r="B298" s="158"/>
      <c r="C298" s="158"/>
      <c r="D298" s="158"/>
      <c r="E298" s="158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16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</row>
    <row r="299" spans="1:43" ht="15" x14ac:dyDescent="0.2">
      <c r="A299" s="158"/>
      <c r="B299" s="158"/>
      <c r="C299" s="158"/>
      <c r="D299" s="158"/>
      <c r="E299" s="158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16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</row>
    <row r="300" spans="1:43" ht="15" x14ac:dyDescent="0.2">
      <c r="A300" s="158"/>
      <c r="B300" s="158"/>
      <c r="C300" s="158"/>
      <c r="D300" s="158"/>
      <c r="E300" s="158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16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</row>
    <row r="301" spans="1:43" ht="15" x14ac:dyDescent="0.2">
      <c r="A301" s="158"/>
      <c r="B301" s="158"/>
      <c r="C301" s="158"/>
      <c r="D301" s="158"/>
      <c r="E301" s="158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16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</row>
    <row r="302" spans="1:43" ht="15" x14ac:dyDescent="0.2">
      <c r="A302" s="158"/>
      <c r="B302" s="158"/>
      <c r="C302" s="158"/>
      <c r="D302" s="158"/>
      <c r="E302" s="158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16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</row>
    <row r="303" spans="1:43" ht="15" x14ac:dyDescent="0.2">
      <c r="A303" s="158"/>
      <c r="B303" s="158"/>
      <c r="C303" s="158"/>
      <c r="D303" s="158"/>
      <c r="E303" s="158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16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</row>
    <row r="304" spans="1:43" ht="15" x14ac:dyDescent="0.2">
      <c r="A304" s="158"/>
      <c r="B304" s="158"/>
      <c r="C304" s="158"/>
      <c r="D304" s="158"/>
      <c r="E304" s="158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16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</row>
    <row r="305" spans="1:43" ht="15" x14ac:dyDescent="0.2">
      <c r="A305" s="158"/>
      <c r="B305" s="158"/>
      <c r="C305" s="158"/>
      <c r="D305" s="158"/>
      <c r="E305" s="158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16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</row>
    <row r="306" spans="1:43" ht="15" x14ac:dyDescent="0.2">
      <c r="A306" s="158"/>
      <c r="B306" s="158"/>
      <c r="C306" s="158"/>
      <c r="D306" s="158"/>
      <c r="E306" s="158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16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</row>
    <row r="307" spans="1:43" ht="15" x14ac:dyDescent="0.2">
      <c r="A307" s="158"/>
      <c r="B307" s="158"/>
      <c r="C307" s="158"/>
      <c r="D307" s="158"/>
      <c r="E307" s="158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16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</row>
    <row r="308" spans="1:43" ht="15" x14ac:dyDescent="0.2">
      <c r="A308" s="158"/>
      <c r="B308" s="158"/>
      <c r="C308" s="158"/>
      <c r="D308" s="158"/>
      <c r="E308" s="158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16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</row>
    <row r="309" spans="1:43" ht="15" x14ac:dyDescent="0.2">
      <c r="A309" s="158"/>
      <c r="B309" s="158"/>
      <c r="C309" s="158"/>
      <c r="D309" s="158"/>
      <c r="E309" s="158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16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</row>
    <row r="310" spans="1:43" ht="15" x14ac:dyDescent="0.2">
      <c r="A310" s="158"/>
      <c r="B310" s="158"/>
      <c r="C310" s="158"/>
      <c r="D310" s="158"/>
      <c r="E310" s="158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16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</row>
    <row r="311" spans="1:43" ht="15" x14ac:dyDescent="0.2">
      <c r="A311" s="158"/>
      <c r="B311" s="158"/>
      <c r="C311" s="158"/>
      <c r="D311" s="158"/>
      <c r="E311" s="158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16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</row>
    <row r="312" spans="1:43" ht="15" x14ac:dyDescent="0.2">
      <c r="A312" s="158"/>
      <c r="B312" s="158"/>
      <c r="C312" s="158"/>
      <c r="D312" s="158"/>
      <c r="E312" s="158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16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</row>
    <row r="313" spans="1:43" ht="15" x14ac:dyDescent="0.2">
      <c r="A313" s="158"/>
      <c r="B313" s="158"/>
      <c r="C313" s="158"/>
      <c r="D313" s="158"/>
      <c r="E313" s="158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16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</row>
    <row r="314" spans="1:43" ht="15" x14ac:dyDescent="0.2">
      <c r="A314" s="158"/>
      <c r="B314" s="158"/>
      <c r="C314" s="158"/>
      <c r="D314" s="158"/>
      <c r="E314" s="158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16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</row>
    <row r="315" spans="1:43" ht="15" x14ac:dyDescent="0.2">
      <c r="A315" s="158"/>
      <c r="B315" s="158"/>
      <c r="C315" s="158"/>
      <c r="D315" s="158"/>
      <c r="E315" s="158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16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</row>
    <row r="316" spans="1:43" ht="15" x14ac:dyDescent="0.2">
      <c r="A316" s="158"/>
      <c r="B316" s="158"/>
      <c r="C316" s="158"/>
      <c r="D316" s="158"/>
      <c r="E316" s="158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16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</row>
    <row r="317" spans="1:43" ht="15" x14ac:dyDescent="0.2">
      <c r="A317" s="158"/>
      <c r="B317" s="158"/>
      <c r="C317" s="158"/>
      <c r="D317" s="158"/>
      <c r="E317" s="158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16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</row>
    <row r="318" spans="1:43" ht="15" x14ac:dyDescent="0.2">
      <c r="A318" s="158"/>
      <c r="B318" s="158"/>
      <c r="C318" s="158"/>
      <c r="D318" s="158"/>
      <c r="E318" s="158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16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</row>
    <row r="319" spans="1:43" ht="15" x14ac:dyDescent="0.2">
      <c r="A319" s="158"/>
      <c r="B319" s="158"/>
      <c r="C319" s="158"/>
      <c r="D319" s="158"/>
      <c r="E319" s="158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16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</row>
    <row r="320" spans="1:43" ht="15" x14ac:dyDescent="0.2">
      <c r="A320" s="158"/>
      <c r="B320" s="158"/>
      <c r="C320" s="158"/>
      <c r="D320" s="158"/>
      <c r="E320" s="158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16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</row>
    <row r="321" spans="1:43" ht="15" x14ac:dyDescent="0.2">
      <c r="A321" s="158"/>
      <c r="B321" s="158"/>
      <c r="C321" s="158"/>
      <c r="D321" s="158"/>
      <c r="E321" s="158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16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</row>
    <row r="322" spans="1:43" ht="15" x14ac:dyDescent="0.2">
      <c r="A322" s="158"/>
      <c r="B322" s="158"/>
      <c r="C322" s="158"/>
      <c r="D322" s="158"/>
      <c r="E322" s="158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16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</row>
    <row r="323" spans="1:43" ht="15" x14ac:dyDescent="0.2">
      <c r="A323" s="158"/>
      <c r="B323" s="158"/>
      <c r="C323" s="158"/>
      <c r="D323" s="158"/>
      <c r="E323" s="158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16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</row>
    <row r="324" spans="1:43" ht="15" x14ac:dyDescent="0.2">
      <c r="A324" s="158"/>
      <c r="B324" s="158"/>
      <c r="C324" s="158"/>
      <c r="D324" s="158"/>
      <c r="E324" s="158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16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</row>
    <row r="325" spans="1:43" ht="15" x14ac:dyDescent="0.2">
      <c r="A325" s="158"/>
      <c r="B325" s="158"/>
      <c r="C325" s="158"/>
      <c r="D325" s="158"/>
      <c r="E325" s="158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16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</row>
    <row r="326" spans="1:43" ht="15" x14ac:dyDescent="0.2">
      <c r="A326" s="158"/>
      <c r="B326" s="158"/>
      <c r="C326" s="158"/>
      <c r="D326" s="158"/>
      <c r="E326" s="158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16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</row>
    <row r="327" spans="1:43" ht="15" x14ac:dyDescent="0.2">
      <c r="A327" s="158"/>
      <c r="B327" s="158"/>
      <c r="C327" s="158"/>
      <c r="D327" s="158"/>
      <c r="E327" s="158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16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</row>
    <row r="328" spans="1:43" ht="15" x14ac:dyDescent="0.2">
      <c r="A328" s="158"/>
      <c r="B328" s="158"/>
      <c r="C328" s="158"/>
      <c r="D328" s="158"/>
      <c r="E328" s="158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16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</row>
    <row r="329" spans="1:43" ht="15" x14ac:dyDescent="0.2">
      <c r="A329" s="158"/>
      <c r="B329" s="158"/>
      <c r="C329" s="158"/>
      <c r="D329" s="158"/>
      <c r="E329" s="158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16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</row>
    <row r="330" spans="1:43" ht="15" x14ac:dyDescent="0.2">
      <c r="A330" s="158"/>
      <c r="B330" s="158"/>
      <c r="C330" s="158"/>
      <c r="D330" s="158"/>
      <c r="E330" s="158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16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</row>
    <row r="331" spans="1:43" ht="15" x14ac:dyDescent="0.2">
      <c r="A331" s="158"/>
      <c r="B331" s="158"/>
      <c r="C331" s="158"/>
      <c r="D331" s="158"/>
      <c r="E331" s="158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16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</row>
    <row r="332" spans="1:43" ht="15" x14ac:dyDescent="0.2">
      <c r="A332" s="158"/>
      <c r="B332" s="158"/>
      <c r="C332" s="158"/>
      <c r="D332" s="158"/>
      <c r="E332" s="158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16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</row>
    <row r="333" spans="1:43" ht="15" x14ac:dyDescent="0.2">
      <c r="A333" s="158"/>
      <c r="B333" s="158"/>
      <c r="C333" s="158"/>
      <c r="D333" s="158"/>
      <c r="E333" s="158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16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</row>
    <row r="334" spans="1:43" ht="15" x14ac:dyDescent="0.2">
      <c r="A334" s="158"/>
      <c r="B334" s="158"/>
      <c r="C334" s="158"/>
      <c r="D334" s="158"/>
      <c r="E334" s="158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16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</row>
    <row r="335" spans="1:43" ht="15" x14ac:dyDescent="0.2">
      <c r="A335" s="158"/>
      <c r="B335" s="158"/>
      <c r="C335" s="158"/>
      <c r="D335" s="158"/>
      <c r="E335" s="158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16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</row>
    <row r="336" spans="1:43" ht="15" x14ac:dyDescent="0.2">
      <c r="A336" s="158"/>
      <c r="B336" s="158"/>
      <c r="C336" s="158"/>
      <c r="D336" s="158"/>
      <c r="E336" s="158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16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</row>
    <row r="337" spans="1:43" ht="15" x14ac:dyDescent="0.2">
      <c r="A337" s="158"/>
      <c r="B337" s="158"/>
      <c r="C337" s="158"/>
      <c r="D337" s="158"/>
      <c r="E337" s="158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16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</row>
    <row r="338" spans="1:43" ht="15" x14ac:dyDescent="0.2">
      <c r="A338" s="158"/>
      <c r="B338" s="158"/>
      <c r="C338" s="158"/>
      <c r="D338" s="158"/>
      <c r="E338" s="158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16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</row>
    <row r="339" spans="1:43" ht="15" x14ac:dyDescent="0.2">
      <c r="A339" s="158"/>
      <c r="B339" s="158"/>
      <c r="C339" s="158"/>
      <c r="D339" s="158"/>
      <c r="E339" s="158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16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</row>
    <row r="340" spans="1:43" ht="15" x14ac:dyDescent="0.2">
      <c r="A340" s="158"/>
      <c r="B340" s="158"/>
      <c r="C340" s="158"/>
      <c r="D340" s="158"/>
      <c r="E340" s="158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16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</row>
    <row r="341" spans="1:43" ht="15" x14ac:dyDescent="0.2">
      <c r="A341" s="158"/>
      <c r="B341" s="158"/>
      <c r="C341" s="158"/>
      <c r="D341" s="158"/>
      <c r="E341" s="158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16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</row>
    <row r="342" spans="1:43" ht="15" x14ac:dyDescent="0.2">
      <c r="A342" s="158"/>
      <c r="B342" s="158"/>
      <c r="C342" s="158"/>
      <c r="D342" s="158"/>
      <c r="E342" s="158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16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</row>
    <row r="343" spans="1:43" ht="15" x14ac:dyDescent="0.2">
      <c r="A343" s="158"/>
      <c r="B343" s="158"/>
      <c r="C343" s="158"/>
      <c r="D343" s="158"/>
      <c r="E343" s="158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16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</row>
    <row r="344" spans="1:43" ht="15" x14ac:dyDescent="0.2">
      <c r="A344" s="158"/>
      <c r="B344" s="158"/>
      <c r="C344" s="158"/>
      <c r="D344" s="158"/>
      <c r="E344" s="158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16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</row>
    <row r="345" spans="1:43" ht="15" x14ac:dyDescent="0.2">
      <c r="A345" s="158"/>
      <c r="B345" s="158"/>
      <c r="C345" s="158"/>
      <c r="D345" s="158"/>
      <c r="E345" s="158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16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</row>
    <row r="346" spans="1:43" ht="15" x14ac:dyDescent="0.2">
      <c r="A346" s="158"/>
      <c r="B346" s="158"/>
      <c r="C346" s="158"/>
      <c r="D346" s="158"/>
      <c r="E346" s="158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16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</row>
    <row r="347" spans="1:43" ht="15" x14ac:dyDescent="0.2">
      <c r="A347" s="158"/>
      <c r="B347" s="158"/>
      <c r="C347" s="158"/>
      <c r="D347" s="158"/>
      <c r="E347" s="158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16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</row>
    <row r="348" spans="1:43" ht="15" x14ac:dyDescent="0.2">
      <c r="A348" s="158"/>
      <c r="B348" s="158"/>
      <c r="C348" s="158"/>
      <c r="D348" s="158"/>
      <c r="E348" s="158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16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</row>
    <row r="349" spans="1:43" ht="15" x14ac:dyDescent="0.2">
      <c r="A349" s="158"/>
      <c r="B349" s="158"/>
      <c r="C349" s="158"/>
      <c r="D349" s="158"/>
      <c r="E349" s="158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16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</row>
    <row r="350" spans="1:43" ht="15" x14ac:dyDescent="0.2">
      <c r="A350" s="158"/>
      <c r="B350" s="158"/>
      <c r="C350" s="158"/>
      <c r="D350" s="158"/>
      <c r="E350" s="158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16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</row>
    <row r="351" spans="1:43" ht="15" x14ac:dyDescent="0.2">
      <c r="A351" s="158"/>
      <c r="B351" s="158"/>
      <c r="C351" s="158"/>
      <c r="D351" s="158"/>
      <c r="E351" s="158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16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</row>
    <row r="352" spans="1:43" ht="15" x14ac:dyDescent="0.2">
      <c r="A352" s="158"/>
      <c r="B352" s="158"/>
      <c r="C352" s="158"/>
      <c r="D352" s="158"/>
      <c r="E352" s="158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16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</row>
    <row r="353" spans="1:43" ht="15" x14ac:dyDescent="0.2">
      <c r="A353" s="158"/>
      <c r="B353" s="158"/>
      <c r="C353" s="158"/>
      <c r="D353" s="158"/>
      <c r="E353" s="158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16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</row>
    <row r="354" spans="1:43" ht="15" x14ac:dyDescent="0.2">
      <c r="A354" s="158"/>
      <c r="B354" s="158"/>
      <c r="C354" s="158"/>
      <c r="D354" s="158"/>
      <c r="E354" s="158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16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</row>
    <row r="355" spans="1:43" ht="15" x14ac:dyDescent="0.2">
      <c r="A355" s="158"/>
      <c r="B355" s="158"/>
      <c r="C355" s="158"/>
      <c r="D355" s="158"/>
      <c r="E355" s="158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16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</row>
    <row r="356" spans="1:43" ht="15" x14ac:dyDescent="0.2">
      <c r="A356" s="158"/>
      <c r="B356" s="158"/>
      <c r="C356" s="158"/>
      <c r="D356" s="158"/>
      <c r="E356" s="158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16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</row>
    <row r="357" spans="1:43" ht="15" x14ac:dyDescent="0.2">
      <c r="A357" s="158"/>
      <c r="B357" s="158"/>
      <c r="C357" s="158"/>
      <c r="D357" s="158"/>
      <c r="E357" s="158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16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</row>
    <row r="358" spans="1:43" ht="15" x14ac:dyDescent="0.2">
      <c r="A358" s="158"/>
      <c r="B358" s="158"/>
      <c r="C358" s="158"/>
      <c r="D358" s="158"/>
      <c r="E358" s="158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16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</row>
    <row r="359" spans="1:43" ht="15" x14ac:dyDescent="0.2">
      <c r="A359" s="158"/>
      <c r="B359" s="158"/>
      <c r="C359" s="158"/>
      <c r="D359" s="158"/>
      <c r="E359" s="158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16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</row>
    <row r="360" spans="1:43" ht="15" x14ac:dyDescent="0.2">
      <c r="A360" s="158"/>
      <c r="B360" s="158"/>
      <c r="C360" s="158"/>
      <c r="D360" s="158"/>
      <c r="E360" s="158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16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</row>
    <row r="361" spans="1:43" ht="15" x14ac:dyDescent="0.2">
      <c r="A361" s="158"/>
      <c r="B361" s="158"/>
      <c r="C361" s="158"/>
      <c r="D361" s="158"/>
      <c r="E361" s="158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16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</row>
    <row r="362" spans="1:43" ht="15" x14ac:dyDescent="0.2">
      <c r="A362" s="158"/>
      <c r="B362" s="158"/>
      <c r="C362" s="158"/>
      <c r="D362" s="158"/>
      <c r="E362" s="158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16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</row>
    <row r="363" spans="1:43" ht="15" x14ac:dyDescent="0.2">
      <c r="A363" s="158"/>
      <c r="B363" s="158"/>
      <c r="C363" s="158"/>
      <c r="D363" s="158"/>
      <c r="E363" s="158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16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</row>
    <row r="364" spans="1:43" ht="15" x14ac:dyDescent="0.2">
      <c r="A364" s="158"/>
      <c r="B364" s="158"/>
      <c r="C364" s="158"/>
      <c r="D364" s="158"/>
      <c r="E364" s="158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16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</row>
    <row r="365" spans="1:43" ht="15" x14ac:dyDescent="0.2">
      <c r="A365" s="158"/>
      <c r="B365" s="158"/>
      <c r="C365" s="158"/>
      <c r="D365" s="158"/>
      <c r="E365" s="158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16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</row>
    <row r="366" spans="1:43" ht="15" x14ac:dyDescent="0.2">
      <c r="A366" s="158"/>
      <c r="B366" s="158"/>
      <c r="C366" s="158"/>
      <c r="D366" s="158"/>
      <c r="E366" s="158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16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</row>
    <row r="367" spans="1:43" ht="15" x14ac:dyDescent="0.2">
      <c r="A367" s="158"/>
      <c r="B367" s="158"/>
      <c r="C367" s="158"/>
      <c r="D367" s="158"/>
      <c r="E367" s="158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16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</row>
    <row r="368" spans="1:43" ht="15" x14ac:dyDescent="0.2">
      <c r="A368" s="158"/>
      <c r="B368" s="158"/>
      <c r="C368" s="158"/>
      <c r="D368" s="158"/>
      <c r="E368" s="158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16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</row>
    <row r="369" spans="1:43" ht="15" x14ac:dyDescent="0.2">
      <c r="A369" s="158"/>
      <c r="B369" s="158"/>
      <c r="C369" s="158"/>
      <c r="D369" s="158"/>
      <c r="E369" s="158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16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</row>
    <row r="370" spans="1:43" ht="15" x14ac:dyDescent="0.2">
      <c r="A370" s="158"/>
      <c r="B370" s="158"/>
      <c r="C370" s="158"/>
      <c r="D370" s="158"/>
      <c r="E370" s="158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16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</row>
    <row r="371" spans="1:43" ht="15" x14ac:dyDescent="0.2">
      <c r="A371" s="158"/>
      <c r="B371" s="158"/>
      <c r="C371" s="158"/>
      <c r="D371" s="158"/>
      <c r="E371" s="158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16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</row>
    <row r="372" spans="1:43" ht="15" x14ac:dyDescent="0.2">
      <c r="A372" s="158"/>
      <c r="B372" s="158"/>
      <c r="C372" s="158"/>
      <c r="D372" s="158"/>
      <c r="E372" s="158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16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</row>
    <row r="373" spans="1:43" ht="15" x14ac:dyDescent="0.2">
      <c r="A373" s="158"/>
      <c r="B373" s="158"/>
      <c r="C373" s="158"/>
      <c r="D373" s="158"/>
      <c r="E373" s="158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16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</row>
    <row r="374" spans="1:43" ht="15" x14ac:dyDescent="0.2">
      <c r="A374" s="158"/>
      <c r="B374" s="158"/>
      <c r="C374" s="158"/>
      <c r="D374" s="158"/>
      <c r="E374" s="158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16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</row>
    <row r="375" spans="1:43" ht="15" x14ac:dyDescent="0.2">
      <c r="A375" s="158"/>
      <c r="B375" s="158"/>
      <c r="C375" s="158"/>
      <c r="D375" s="158"/>
      <c r="E375" s="158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16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</row>
    <row r="376" spans="1:43" ht="15" x14ac:dyDescent="0.2">
      <c r="A376" s="158"/>
      <c r="B376" s="158"/>
      <c r="C376" s="158"/>
      <c r="D376" s="158"/>
      <c r="E376" s="158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16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</row>
    <row r="377" spans="1:43" ht="15" x14ac:dyDescent="0.2">
      <c r="A377" s="158"/>
      <c r="B377" s="158"/>
      <c r="C377" s="158"/>
      <c r="D377" s="158"/>
      <c r="E377" s="158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16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</row>
    <row r="378" spans="1:43" ht="15" x14ac:dyDescent="0.2">
      <c r="A378" s="158"/>
      <c r="B378" s="158"/>
      <c r="C378" s="158"/>
      <c r="D378" s="158"/>
      <c r="E378" s="158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16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</row>
    <row r="379" spans="1:43" ht="15" x14ac:dyDescent="0.2">
      <c r="A379" s="158"/>
      <c r="B379" s="158"/>
      <c r="C379" s="158"/>
      <c r="D379" s="158"/>
      <c r="E379" s="158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16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</row>
    <row r="380" spans="1:43" ht="15" x14ac:dyDescent="0.2">
      <c r="A380" s="158"/>
      <c r="B380" s="158"/>
      <c r="C380" s="158"/>
      <c r="D380" s="158"/>
      <c r="E380" s="158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16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</row>
    <row r="381" spans="1:43" ht="15" x14ac:dyDescent="0.2">
      <c r="A381" s="158"/>
      <c r="B381" s="158"/>
      <c r="C381" s="158"/>
      <c r="D381" s="158"/>
      <c r="E381" s="158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16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</row>
    <row r="382" spans="1:43" ht="15" x14ac:dyDescent="0.2">
      <c r="A382" s="158"/>
      <c r="B382" s="158"/>
      <c r="C382" s="158"/>
      <c r="D382" s="158"/>
      <c r="E382" s="158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16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</row>
    <row r="383" spans="1:43" ht="15" x14ac:dyDescent="0.2">
      <c r="A383" s="158"/>
      <c r="B383" s="158"/>
      <c r="C383" s="158"/>
      <c r="D383" s="158"/>
      <c r="E383" s="158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16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</row>
    <row r="384" spans="1:43" ht="15" x14ac:dyDescent="0.2">
      <c r="A384" s="158"/>
      <c r="B384" s="158"/>
      <c r="C384" s="158"/>
      <c r="D384" s="158"/>
      <c r="E384" s="158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16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</row>
    <row r="385" spans="1:43" ht="15" x14ac:dyDescent="0.2">
      <c r="A385" s="158"/>
      <c r="B385" s="158"/>
      <c r="C385" s="158"/>
      <c r="D385" s="158"/>
      <c r="E385" s="158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16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</row>
    <row r="386" spans="1:43" ht="15" x14ac:dyDescent="0.2">
      <c r="A386" s="158"/>
      <c r="B386" s="158"/>
      <c r="C386" s="158"/>
      <c r="D386" s="158"/>
      <c r="E386" s="158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16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</row>
    <row r="387" spans="1:43" ht="15" x14ac:dyDescent="0.2">
      <c r="A387" s="158"/>
      <c r="B387" s="158"/>
      <c r="C387" s="158"/>
      <c r="D387" s="158"/>
      <c r="E387" s="158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16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</row>
    <row r="388" spans="1:43" ht="15" x14ac:dyDescent="0.2">
      <c r="A388" s="158"/>
      <c r="B388" s="158"/>
      <c r="C388" s="158"/>
      <c r="D388" s="158"/>
      <c r="E388" s="158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16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</row>
    <row r="389" spans="1:43" ht="15" x14ac:dyDescent="0.2">
      <c r="A389" s="158"/>
      <c r="B389" s="158"/>
      <c r="C389" s="158"/>
      <c r="D389" s="158"/>
      <c r="E389" s="158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16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</row>
    <row r="390" spans="1:43" ht="15" x14ac:dyDescent="0.2">
      <c r="A390" s="158"/>
      <c r="B390" s="158"/>
      <c r="C390" s="158"/>
      <c r="D390" s="158"/>
      <c r="E390" s="158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16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</row>
    <row r="391" spans="1:43" ht="15" x14ac:dyDescent="0.2">
      <c r="A391" s="158"/>
      <c r="B391" s="158"/>
      <c r="C391" s="158"/>
      <c r="D391" s="158"/>
      <c r="E391" s="158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16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</row>
    <row r="392" spans="1:43" ht="15" x14ac:dyDescent="0.2">
      <c r="A392" s="158"/>
      <c r="B392" s="158"/>
      <c r="C392" s="158"/>
      <c r="D392" s="158"/>
      <c r="E392" s="158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16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</row>
    <row r="393" spans="1:43" ht="15" x14ac:dyDescent="0.2">
      <c r="A393" s="158"/>
      <c r="B393" s="158"/>
      <c r="C393" s="158"/>
      <c r="D393" s="158"/>
      <c r="E393" s="158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16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</row>
    <row r="394" spans="1:43" ht="15" x14ac:dyDescent="0.2">
      <c r="A394" s="158"/>
      <c r="B394" s="158"/>
      <c r="C394" s="158"/>
      <c r="D394" s="158"/>
      <c r="E394" s="158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16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</row>
    <row r="395" spans="1:43" ht="15" x14ac:dyDescent="0.2">
      <c r="A395" s="158"/>
      <c r="B395" s="158"/>
      <c r="C395" s="158"/>
      <c r="D395" s="158"/>
      <c r="E395" s="158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16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</row>
    <row r="396" spans="1:43" ht="15" x14ac:dyDescent="0.2">
      <c r="A396" s="158"/>
      <c r="B396" s="158"/>
      <c r="C396" s="158"/>
      <c r="D396" s="158"/>
      <c r="E396" s="158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16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</row>
    <row r="397" spans="1:43" ht="15" x14ac:dyDescent="0.2">
      <c r="A397" s="158"/>
      <c r="B397" s="158"/>
      <c r="C397" s="158"/>
      <c r="D397" s="158"/>
      <c r="E397" s="158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16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</row>
    <row r="398" spans="1:43" ht="15" x14ac:dyDescent="0.2">
      <c r="A398" s="158"/>
      <c r="B398" s="158"/>
      <c r="C398" s="158"/>
      <c r="D398" s="158"/>
      <c r="E398" s="158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16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</row>
    <row r="399" spans="1:43" ht="15" x14ac:dyDescent="0.2">
      <c r="A399" s="158"/>
      <c r="B399" s="158"/>
      <c r="C399" s="158"/>
      <c r="D399" s="158"/>
      <c r="E399" s="158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16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</row>
    <row r="400" spans="1:43" ht="15" x14ac:dyDescent="0.2">
      <c r="A400" s="158"/>
      <c r="B400" s="158"/>
      <c r="C400" s="158"/>
      <c r="D400" s="158"/>
      <c r="E400" s="158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16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</row>
    <row r="401" spans="1:43" ht="15" x14ac:dyDescent="0.2">
      <c r="A401" s="158"/>
      <c r="B401" s="158"/>
      <c r="C401" s="158"/>
      <c r="D401" s="158"/>
      <c r="E401" s="158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16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</row>
    <row r="402" spans="1:43" ht="15" x14ac:dyDescent="0.2">
      <c r="A402" s="158"/>
      <c r="B402" s="158"/>
      <c r="C402" s="158"/>
      <c r="D402" s="158"/>
      <c r="E402" s="158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16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</row>
    <row r="403" spans="1:43" ht="15" x14ac:dyDescent="0.2">
      <c r="A403" s="158"/>
      <c r="B403" s="158"/>
      <c r="C403" s="158"/>
      <c r="D403" s="158"/>
      <c r="E403" s="158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16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</row>
    <row r="404" spans="1:43" ht="15" x14ac:dyDescent="0.2">
      <c r="A404" s="158"/>
      <c r="B404" s="158"/>
      <c r="C404" s="158"/>
      <c r="D404" s="158"/>
      <c r="E404" s="158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16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</row>
    <row r="405" spans="1:43" ht="15" x14ac:dyDescent="0.2">
      <c r="A405" s="158"/>
      <c r="B405" s="158"/>
      <c r="C405" s="158"/>
      <c r="D405" s="158"/>
      <c r="E405" s="158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16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</row>
    <row r="406" spans="1:43" ht="15" x14ac:dyDescent="0.2">
      <c r="A406" s="158"/>
      <c r="B406" s="158"/>
      <c r="C406" s="158"/>
      <c r="D406" s="158"/>
      <c r="E406" s="158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16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</row>
    <row r="407" spans="1:43" ht="15" x14ac:dyDescent="0.2">
      <c r="A407" s="158"/>
      <c r="B407" s="158"/>
      <c r="C407" s="158"/>
      <c r="D407" s="158"/>
      <c r="E407" s="158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16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</row>
    <row r="408" spans="1:43" ht="15" x14ac:dyDescent="0.2">
      <c r="A408" s="158"/>
      <c r="B408" s="158"/>
      <c r="C408" s="158"/>
      <c r="D408" s="158"/>
      <c r="E408" s="158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16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</row>
    <row r="409" spans="1:43" ht="15" x14ac:dyDescent="0.2">
      <c r="A409" s="158"/>
      <c r="B409" s="158"/>
      <c r="C409" s="158"/>
      <c r="D409" s="158"/>
      <c r="E409" s="158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16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</row>
    <row r="410" spans="1:43" ht="15" x14ac:dyDescent="0.2">
      <c r="A410" s="158"/>
      <c r="B410" s="158"/>
      <c r="C410" s="158"/>
      <c r="D410" s="158"/>
      <c r="E410" s="158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16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</row>
    <row r="411" spans="1:43" ht="15" x14ac:dyDescent="0.2">
      <c r="A411" s="158"/>
      <c r="B411" s="158"/>
      <c r="C411" s="158"/>
      <c r="D411" s="158"/>
      <c r="E411" s="158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16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</row>
    <row r="412" spans="1:43" ht="15" x14ac:dyDescent="0.2">
      <c r="A412" s="158"/>
      <c r="B412" s="158"/>
      <c r="C412" s="158"/>
      <c r="D412" s="158"/>
      <c r="E412" s="158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16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</row>
    <row r="413" spans="1:43" ht="15" x14ac:dyDescent="0.2">
      <c r="A413" s="158"/>
      <c r="B413" s="158"/>
      <c r="C413" s="158"/>
      <c r="D413" s="158"/>
      <c r="E413" s="158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16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</row>
    <row r="414" spans="1:43" ht="15" x14ac:dyDescent="0.2">
      <c r="A414" s="158"/>
      <c r="B414" s="158"/>
      <c r="C414" s="158"/>
      <c r="D414" s="158"/>
      <c r="E414" s="158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16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</row>
    <row r="415" spans="1:43" ht="15" x14ac:dyDescent="0.2">
      <c r="A415" s="158"/>
      <c r="B415" s="158"/>
      <c r="C415" s="158"/>
      <c r="D415" s="158"/>
      <c r="E415" s="158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16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</row>
    <row r="416" spans="1:43" ht="15" x14ac:dyDescent="0.2">
      <c r="A416" s="158"/>
      <c r="B416" s="158"/>
      <c r="C416" s="158"/>
      <c r="D416" s="158"/>
      <c r="E416" s="158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16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</row>
    <row r="417" spans="1:43" ht="15" x14ac:dyDescent="0.2">
      <c r="A417" s="158"/>
      <c r="B417" s="158"/>
      <c r="C417" s="158"/>
      <c r="D417" s="158"/>
      <c r="E417" s="158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16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</row>
    <row r="418" spans="1:43" ht="15" x14ac:dyDescent="0.2">
      <c r="A418" s="158"/>
      <c r="B418" s="158"/>
      <c r="C418" s="158"/>
      <c r="D418" s="158"/>
      <c r="E418" s="158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16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</row>
    <row r="419" spans="1:43" ht="15" x14ac:dyDescent="0.2">
      <c r="A419" s="158"/>
      <c r="B419" s="158"/>
      <c r="C419" s="158"/>
      <c r="D419" s="158"/>
      <c r="E419" s="158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16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</row>
    <row r="420" spans="1:43" ht="15" x14ac:dyDescent="0.2">
      <c r="A420" s="158"/>
      <c r="B420" s="158"/>
      <c r="C420" s="158"/>
      <c r="D420" s="158"/>
      <c r="E420" s="158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16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</row>
    <row r="421" spans="1:43" ht="15" x14ac:dyDescent="0.2">
      <c r="A421" s="158"/>
      <c r="B421" s="158"/>
      <c r="C421" s="158"/>
      <c r="D421" s="158"/>
      <c r="E421" s="158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16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</row>
    <row r="422" spans="1:43" ht="15" x14ac:dyDescent="0.2">
      <c r="A422" s="158"/>
      <c r="B422" s="158"/>
      <c r="C422" s="158"/>
      <c r="D422" s="158"/>
      <c r="E422" s="158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16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</row>
    <row r="423" spans="1:43" ht="15" x14ac:dyDescent="0.2">
      <c r="A423" s="158"/>
      <c r="B423" s="158"/>
      <c r="C423" s="158"/>
      <c r="D423" s="158"/>
      <c r="E423" s="158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16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</row>
    <row r="424" spans="1:43" ht="15" x14ac:dyDescent="0.2">
      <c r="A424" s="158"/>
      <c r="B424" s="158"/>
      <c r="C424" s="158"/>
      <c r="D424" s="158"/>
      <c r="E424" s="158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16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</row>
    <row r="425" spans="1:43" ht="15" x14ac:dyDescent="0.2">
      <c r="A425" s="158"/>
      <c r="B425" s="158"/>
      <c r="C425" s="158"/>
      <c r="D425" s="158"/>
      <c r="E425" s="158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16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</row>
    <row r="426" spans="1:43" ht="15" x14ac:dyDescent="0.2">
      <c r="A426" s="158"/>
      <c r="B426" s="158"/>
      <c r="C426" s="158"/>
      <c r="D426" s="158"/>
      <c r="E426" s="158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16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</row>
    <row r="427" spans="1:43" ht="15" x14ac:dyDescent="0.2">
      <c r="A427" s="158"/>
      <c r="B427" s="158"/>
      <c r="C427" s="158"/>
      <c r="D427" s="158"/>
      <c r="E427" s="158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16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</row>
    <row r="428" spans="1:43" ht="15" x14ac:dyDescent="0.2">
      <c r="A428" s="158"/>
      <c r="B428" s="158"/>
      <c r="C428" s="158"/>
      <c r="D428" s="158"/>
      <c r="E428" s="158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16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</row>
    <row r="429" spans="1:43" ht="15" x14ac:dyDescent="0.2">
      <c r="A429" s="158"/>
      <c r="B429" s="158"/>
      <c r="C429" s="158"/>
      <c r="D429" s="158"/>
      <c r="E429" s="158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16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</row>
    <row r="430" spans="1:43" ht="15" x14ac:dyDescent="0.2">
      <c r="A430" s="158"/>
      <c r="B430" s="158"/>
      <c r="C430" s="158"/>
      <c r="D430" s="158"/>
      <c r="E430" s="158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16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</row>
    <row r="431" spans="1:43" ht="15" x14ac:dyDescent="0.2">
      <c r="A431" s="158"/>
      <c r="B431" s="158"/>
      <c r="C431" s="158"/>
      <c r="D431" s="158"/>
      <c r="E431" s="158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16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</row>
    <row r="432" spans="1:43" ht="15" x14ac:dyDescent="0.2">
      <c r="A432" s="158"/>
      <c r="B432" s="158"/>
      <c r="C432" s="158"/>
      <c r="D432" s="158"/>
      <c r="E432" s="158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16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</row>
    <row r="433" spans="1:43" ht="15" x14ac:dyDescent="0.2">
      <c r="A433" s="158"/>
      <c r="B433" s="158"/>
      <c r="C433" s="158"/>
      <c r="D433" s="158"/>
      <c r="E433" s="158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16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</row>
    <row r="434" spans="1:43" ht="15" x14ac:dyDescent="0.2">
      <c r="A434" s="158"/>
      <c r="B434" s="158"/>
      <c r="C434" s="158"/>
      <c r="D434" s="158"/>
      <c r="E434" s="158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16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</row>
    <row r="435" spans="1:43" ht="15" x14ac:dyDescent="0.2">
      <c r="A435" s="158"/>
      <c r="B435" s="158"/>
      <c r="C435" s="158"/>
      <c r="D435" s="158"/>
      <c r="E435" s="158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16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</row>
    <row r="436" spans="1:43" ht="15" x14ac:dyDescent="0.2">
      <c r="A436" s="158"/>
      <c r="B436" s="158"/>
      <c r="C436" s="158"/>
      <c r="D436" s="158"/>
      <c r="E436" s="158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16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</row>
    <row r="437" spans="1:43" ht="15" x14ac:dyDescent="0.2">
      <c r="A437" s="158"/>
      <c r="B437" s="158"/>
      <c r="C437" s="158"/>
      <c r="D437" s="158"/>
      <c r="E437" s="158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16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</row>
    <row r="438" spans="1:43" ht="15" x14ac:dyDescent="0.2">
      <c r="A438" s="158"/>
      <c r="B438" s="158"/>
      <c r="C438" s="158"/>
      <c r="D438" s="158"/>
      <c r="E438" s="158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16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</row>
    <row r="439" spans="1:43" ht="15" x14ac:dyDescent="0.2">
      <c r="A439" s="158"/>
      <c r="B439" s="158"/>
      <c r="C439" s="158"/>
      <c r="D439" s="158"/>
      <c r="E439" s="158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16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</row>
    <row r="440" spans="1:43" ht="15" x14ac:dyDescent="0.2">
      <c r="A440" s="158"/>
      <c r="B440" s="158"/>
      <c r="C440" s="158"/>
      <c r="D440" s="158"/>
      <c r="E440" s="158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16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</row>
    <row r="441" spans="1:43" ht="15" x14ac:dyDescent="0.2">
      <c r="A441" s="158"/>
      <c r="B441" s="158"/>
      <c r="C441" s="158"/>
      <c r="D441" s="158"/>
      <c r="E441" s="158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16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</row>
    <row r="442" spans="1:43" ht="15" x14ac:dyDescent="0.2">
      <c r="A442" s="158"/>
      <c r="B442" s="158"/>
      <c r="C442" s="158"/>
      <c r="D442" s="158"/>
      <c r="E442" s="158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16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</row>
    <row r="443" spans="1:43" ht="15" x14ac:dyDescent="0.2">
      <c r="A443" s="158"/>
      <c r="B443" s="158"/>
      <c r="C443" s="158"/>
      <c r="D443" s="158"/>
      <c r="E443" s="158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16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</row>
    <row r="444" spans="1:43" ht="15" x14ac:dyDescent="0.2">
      <c r="A444" s="158"/>
      <c r="B444" s="158"/>
      <c r="C444" s="158"/>
      <c r="D444" s="158"/>
      <c r="E444" s="158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16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</row>
    <row r="445" spans="1:43" ht="15" x14ac:dyDescent="0.2">
      <c r="A445" s="158"/>
      <c r="B445" s="158"/>
      <c r="C445" s="158"/>
      <c r="D445" s="158"/>
      <c r="E445" s="158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16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</row>
    <row r="446" spans="1:43" ht="15" x14ac:dyDescent="0.2">
      <c r="A446" s="158"/>
      <c r="B446" s="158"/>
      <c r="C446" s="158"/>
      <c r="D446" s="158"/>
      <c r="E446" s="158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16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</row>
    <row r="447" spans="1:43" ht="15" x14ac:dyDescent="0.2">
      <c r="A447" s="158"/>
      <c r="B447" s="158"/>
      <c r="C447" s="158"/>
      <c r="D447" s="158"/>
      <c r="E447" s="158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16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</row>
    <row r="448" spans="1:43" ht="15" x14ac:dyDescent="0.2">
      <c r="A448" s="158"/>
      <c r="B448" s="158"/>
      <c r="C448" s="158"/>
      <c r="D448" s="158"/>
      <c r="E448" s="158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16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</row>
    <row r="449" spans="1:43" ht="15" x14ac:dyDescent="0.2">
      <c r="A449" s="158"/>
      <c r="B449" s="158"/>
      <c r="C449" s="158"/>
      <c r="D449" s="158"/>
      <c r="E449" s="158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16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</row>
    <row r="450" spans="1:43" ht="15" x14ac:dyDescent="0.2">
      <c r="A450" s="158"/>
      <c r="B450" s="158"/>
      <c r="C450" s="158"/>
      <c r="D450" s="158"/>
      <c r="E450" s="158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16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</row>
    <row r="451" spans="1:43" ht="15" x14ac:dyDescent="0.2">
      <c r="A451" s="158"/>
      <c r="B451" s="158"/>
      <c r="C451" s="158"/>
      <c r="D451" s="158"/>
      <c r="E451" s="158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16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</row>
    <row r="452" spans="1:43" ht="15" x14ac:dyDescent="0.2">
      <c r="A452" s="158"/>
      <c r="B452" s="158"/>
      <c r="C452" s="158"/>
      <c r="D452" s="158"/>
      <c r="E452" s="158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16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</row>
    <row r="453" spans="1:43" ht="15" x14ac:dyDescent="0.2">
      <c r="A453" s="158"/>
      <c r="B453" s="158"/>
      <c r="C453" s="158"/>
      <c r="D453" s="158"/>
      <c r="E453" s="158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16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</row>
    <row r="454" spans="1:43" ht="15" x14ac:dyDescent="0.2">
      <c r="A454" s="158"/>
      <c r="B454" s="158"/>
      <c r="C454" s="158"/>
      <c r="D454" s="158"/>
      <c r="E454" s="158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16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</row>
    <row r="455" spans="1:43" ht="15" x14ac:dyDescent="0.2">
      <c r="A455" s="158"/>
      <c r="B455" s="158"/>
      <c r="C455" s="158"/>
      <c r="D455" s="158"/>
      <c r="E455" s="158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16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</row>
    <row r="456" spans="1:43" ht="15" x14ac:dyDescent="0.2">
      <c r="A456" s="158"/>
      <c r="B456" s="158"/>
      <c r="C456" s="158"/>
      <c r="D456" s="158"/>
      <c r="E456" s="158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16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</row>
    <row r="457" spans="1:43" ht="15" x14ac:dyDescent="0.2">
      <c r="A457" s="158"/>
      <c r="B457" s="158"/>
      <c r="C457" s="158"/>
      <c r="D457" s="158"/>
      <c r="E457" s="158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16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</row>
    <row r="458" spans="1:43" ht="15" x14ac:dyDescent="0.2">
      <c r="A458" s="158"/>
      <c r="B458" s="158"/>
      <c r="C458" s="158"/>
      <c r="D458" s="158"/>
      <c r="E458" s="158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16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</row>
    <row r="459" spans="1:43" ht="15" x14ac:dyDescent="0.2">
      <c r="A459" s="158"/>
      <c r="B459" s="158"/>
      <c r="C459" s="158"/>
      <c r="D459" s="158"/>
      <c r="E459" s="158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16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</row>
    <row r="460" spans="1:43" ht="15" x14ac:dyDescent="0.2">
      <c r="A460" s="158"/>
      <c r="B460" s="158"/>
      <c r="C460" s="158"/>
      <c r="D460" s="158"/>
      <c r="E460" s="158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16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</row>
    <row r="461" spans="1:43" ht="15" x14ac:dyDescent="0.2">
      <c r="A461" s="158"/>
      <c r="B461" s="158"/>
      <c r="C461" s="158"/>
      <c r="D461" s="158"/>
      <c r="E461" s="158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16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</row>
    <row r="462" spans="1:43" ht="15" x14ac:dyDescent="0.2">
      <c r="A462" s="158"/>
      <c r="B462" s="158"/>
      <c r="C462" s="158"/>
      <c r="D462" s="158"/>
      <c r="E462" s="158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16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</row>
    <row r="463" spans="1:43" ht="15" x14ac:dyDescent="0.2">
      <c r="A463" s="158"/>
      <c r="B463" s="158"/>
      <c r="C463" s="158"/>
      <c r="D463" s="158"/>
      <c r="E463" s="158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16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</row>
    <row r="464" spans="1:43" ht="15" x14ac:dyDescent="0.2">
      <c r="A464" s="158"/>
      <c r="B464" s="158"/>
      <c r="C464" s="158"/>
      <c r="D464" s="158"/>
      <c r="E464" s="158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16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</row>
    <row r="465" spans="1:43" ht="15" x14ac:dyDescent="0.2">
      <c r="A465" s="158"/>
      <c r="B465" s="158"/>
      <c r="C465" s="158"/>
      <c r="D465" s="158"/>
      <c r="E465" s="158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16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</row>
    <row r="466" spans="1:43" ht="15" x14ac:dyDescent="0.2">
      <c r="A466" s="158"/>
      <c r="B466" s="158"/>
      <c r="C466" s="158"/>
      <c r="D466" s="158"/>
      <c r="E466" s="158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16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</row>
    <row r="467" spans="1:43" ht="15" x14ac:dyDescent="0.2">
      <c r="A467" s="158"/>
      <c r="B467" s="158"/>
      <c r="C467" s="158"/>
      <c r="D467" s="158"/>
      <c r="E467" s="158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16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</row>
    <row r="468" spans="1:43" ht="15" x14ac:dyDescent="0.2">
      <c r="A468" s="158"/>
      <c r="B468" s="158"/>
      <c r="C468" s="158"/>
      <c r="D468" s="158"/>
      <c r="E468" s="158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16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</row>
    <row r="469" spans="1:43" ht="15" x14ac:dyDescent="0.2">
      <c r="A469" s="158"/>
      <c r="B469" s="158"/>
      <c r="C469" s="158"/>
      <c r="D469" s="158"/>
      <c r="E469" s="158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16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</row>
    <row r="470" spans="1:43" ht="15" x14ac:dyDescent="0.2">
      <c r="A470" s="158"/>
      <c r="B470" s="158"/>
      <c r="C470" s="158"/>
      <c r="D470" s="158"/>
      <c r="E470" s="158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16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</row>
    <row r="471" spans="1:43" ht="15" x14ac:dyDescent="0.2">
      <c r="A471" s="158"/>
      <c r="B471" s="158"/>
      <c r="C471" s="158"/>
      <c r="D471" s="158"/>
      <c r="E471" s="158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16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</row>
    <row r="472" spans="1:43" ht="15" x14ac:dyDescent="0.2">
      <c r="A472" s="158"/>
      <c r="B472" s="158"/>
      <c r="C472" s="158"/>
      <c r="D472" s="158"/>
      <c r="E472" s="158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16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</row>
    <row r="473" spans="1:43" ht="15" x14ac:dyDescent="0.2">
      <c r="A473" s="158"/>
      <c r="B473" s="158"/>
      <c r="C473" s="158"/>
      <c r="D473" s="158"/>
      <c r="E473" s="158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16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</row>
    <row r="474" spans="1:43" ht="15" x14ac:dyDescent="0.2">
      <c r="A474" s="158"/>
      <c r="B474" s="158"/>
      <c r="C474" s="158"/>
      <c r="D474" s="158"/>
      <c r="E474" s="158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16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</row>
    <row r="475" spans="1:43" ht="15" x14ac:dyDescent="0.2">
      <c r="A475" s="158"/>
      <c r="B475" s="158"/>
      <c r="C475" s="158"/>
      <c r="D475" s="158"/>
      <c r="E475" s="158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16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</row>
    <row r="476" spans="1:43" ht="15" x14ac:dyDescent="0.2">
      <c r="A476" s="158"/>
      <c r="B476" s="158"/>
      <c r="C476" s="158"/>
      <c r="D476" s="158"/>
      <c r="E476" s="158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16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</row>
    <row r="477" spans="1:43" ht="15" x14ac:dyDescent="0.2">
      <c r="A477" s="158"/>
      <c r="B477" s="158"/>
      <c r="C477" s="158"/>
      <c r="D477" s="158"/>
      <c r="E477" s="158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16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</row>
    <row r="478" spans="1:43" ht="15" x14ac:dyDescent="0.2">
      <c r="A478" s="158"/>
      <c r="B478" s="158"/>
      <c r="C478" s="158"/>
      <c r="D478" s="158"/>
      <c r="E478" s="158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16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</row>
    <row r="479" spans="1:43" ht="15" x14ac:dyDescent="0.2">
      <c r="A479" s="158"/>
      <c r="B479" s="158"/>
      <c r="C479" s="158"/>
      <c r="D479" s="158"/>
      <c r="E479" s="158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16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</row>
    <row r="480" spans="1:43" ht="15" x14ac:dyDescent="0.2">
      <c r="A480" s="158"/>
      <c r="B480" s="158"/>
      <c r="C480" s="158"/>
      <c r="D480" s="158"/>
      <c r="E480" s="158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16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</row>
    <row r="481" spans="1:43" ht="15" x14ac:dyDescent="0.2">
      <c r="A481" s="158"/>
      <c r="B481" s="158"/>
      <c r="C481" s="158"/>
      <c r="D481" s="158"/>
      <c r="E481" s="158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16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</row>
    <row r="482" spans="1:43" ht="15" x14ac:dyDescent="0.2">
      <c r="A482" s="158"/>
      <c r="B482" s="158"/>
      <c r="C482" s="158"/>
      <c r="D482" s="158"/>
      <c r="E482" s="158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16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</row>
    <row r="483" spans="1:43" ht="15" x14ac:dyDescent="0.2">
      <c r="A483" s="158"/>
      <c r="B483" s="158"/>
      <c r="C483" s="158"/>
      <c r="D483" s="158"/>
      <c r="E483" s="158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16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</row>
    <row r="484" spans="1:43" ht="15" x14ac:dyDescent="0.2">
      <c r="A484" s="158"/>
      <c r="B484" s="158"/>
      <c r="C484" s="158"/>
      <c r="D484" s="158"/>
      <c r="E484" s="158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16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</row>
    <row r="485" spans="1:43" ht="15" x14ac:dyDescent="0.2">
      <c r="A485" s="158"/>
      <c r="B485" s="158"/>
      <c r="C485" s="158"/>
      <c r="D485" s="158"/>
      <c r="E485" s="158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16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</row>
    <row r="486" spans="1:43" ht="15" x14ac:dyDescent="0.2">
      <c r="A486" s="158"/>
      <c r="B486" s="158"/>
      <c r="C486" s="158"/>
      <c r="D486" s="158"/>
      <c r="E486" s="158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16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</row>
    <row r="487" spans="1:43" ht="15" x14ac:dyDescent="0.2">
      <c r="A487" s="158"/>
      <c r="B487" s="158"/>
      <c r="C487" s="158"/>
      <c r="D487" s="158"/>
      <c r="E487" s="158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16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</row>
    <row r="488" spans="1:43" ht="15" x14ac:dyDescent="0.2">
      <c r="A488" s="158"/>
      <c r="B488" s="158"/>
      <c r="C488" s="158"/>
      <c r="D488" s="158"/>
      <c r="E488" s="158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16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</row>
    <row r="489" spans="1:43" ht="15" x14ac:dyDescent="0.2">
      <c r="A489" s="158"/>
      <c r="B489" s="158"/>
      <c r="C489" s="158"/>
      <c r="D489" s="158"/>
      <c r="E489" s="158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16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</row>
    <row r="490" spans="1:43" ht="15" x14ac:dyDescent="0.2">
      <c r="A490" s="158"/>
      <c r="B490" s="158"/>
      <c r="C490" s="158"/>
      <c r="D490" s="158"/>
      <c r="E490" s="158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16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</row>
    <row r="491" spans="1:43" ht="15" x14ac:dyDescent="0.2">
      <c r="A491" s="158"/>
      <c r="B491" s="158"/>
      <c r="C491" s="158"/>
      <c r="D491" s="158"/>
      <c r="E491" s="158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16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</row>
    <row r="492" spans="1:43" ht="15" x14ac:dyDescent="0.2">
      <c r="A492" s="158"/>
      <c r="B492" s="158"/>
      <c r="C492" s="158"/>
      <c r="D492" s="158"/>
      <c r="E492" s="158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16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</row>
    <row r="493" spans="1:43" ht="15" x14ac:dyDescent="0.2">
      <c r="A493" s="158"/>
      <c r="B493" s="158"/>
      <c r="C493" s="158"/>
      <c r="D493" s="158"/>
      <c r="E493" s="158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16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</row>
    <row r="494" spans="1:43" ht="15" x14ac:dyDescent="0.2">
      <c r="A494" s="158"/>
      <c r="B494" s="158"/>
      <c r="C494" s="158"/>
      <c r="D494" s="158"/>
      <c r="E494" s="158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16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</row>
    <row r="495" spans="1:43" ht="15" x14ac:dyDescent="0.2">
      <c r="A495" s="158"/>
      <c r="B495" s="158"/>
      <c r="C495" s="158"/>
      <c r="D495" s="158"/>
      <c r="E495" s="158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16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</row>
    <row r="496" spans="1:43" ht="15" x14ac:dyDescent="0.2">
      <c r="A496" s="158"/>
      <c r="B496" s="158"/>
      <c r="C496" s="158"/>
      <c r="D496" s="158"/>
      <c r="E496" s="158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16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</row>
    <row r="497" spans="1:43" ht="15" x14ac:dyDescent="0.2">
      <c r="A497" s="158"/>
      <c r="B497" s="158"/>
      <c r="C497" s="158"/>
      <c r="D497" s="158"/>
      <c r="E497" s="158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16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</row>
    <row r="498" spans="1:43" ht="15" x14ac:dyDescent="0.2">
      <c r="A498" s="158"/>
      <c r="B498" s="158"/>
      <c r="C498" s="158"/>
      <c r="D498" s="158"/>
      <c r="E498" s="158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16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</row>
    <row r="499" spans="1:43" ht="15" x14ac:dyDescent="0.2">
      <c r="A499" s="158"/>
      <c r="B499" s="158"/>
      <c r="C499" s="158"/>
      <c r="D499" s="158"/>
      <c r="E499" s="158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16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</row>
    <row r="500" spans="1:43" ht="15" x14ac:dyDescent="0.2">
      <c r="A500" s="158"/>
      <c r="B500" s="158"/>
      <c r="C500" s="158"/>
      <c r="D500" s="158"/>
      <c r="E500" s="158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16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</row>
    <row r="501" spans="1:43" ht="15" x14ac:dyDescent="0.2">
      <c r="A501" s="158"/>
      <c r="B501" s="158"/>
      <c r="C501" s="158"/>
      <c r="D501" s="158"/>
      <c r="E501" s="158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16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</row>
    <row r="502" spans="1:43" ht="15" x14ac:dyDescent="0.2">
      <c r="A502" s="158"/>
      <c r="B502" s="158"/>
      <c r="C502" s="158"/>
      <c r="D502" s="158"/>
      <c r="E502" s="158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16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</row>
    <row r="503" spans="1:43" ht="15" x14ac:dyDescent="0.2">
      <c r="A503" s="158"/>
      <c r="B503" s="158"/>
      <c r="C503" s="158"/>
      <c r="D503" s="158"/>
      <c r="E503" s="158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16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</row>
    <row r="504" spans="1:43" ht="15" x14ac:dyDescent="0.2">
      <c r="A504" s="158"/>
      <c r="B504" s="158"/>
      <c r="C504" s="158"/>
      <c r="D504" s="158"/>
      <c r="E504" s="158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16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</row>
    <row r="505" spans="1:43" ht="15" x14ac:dyDescent="0.2">
      <c r="A505" s="158"/>
      <c r="B505" s="158"/>
      <c r="C505" s="158"/>
      <c r="D505" s="158"/>
      <c r="E505" s="158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16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</row>
    <row r="506" spans="1:43" ht="15" x14ac:dyDescent="0.2">
      <c r="A506" s="158"/>
      <c r="B506" s="158"/>
      <c r="C506" s="158"/>
      <c r="D506" s="158"/>
      <c r="E506" s="158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16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</row>
    <row r="507" spans="1:43" ht="15" x14ac:dyDescent="0.2">
      <c r="A507" s="158"/>
      <c r="B507" s="158"/>
      <c r="C507" s="158"/>
      <c r="D507" s="158"/>
      <c r="E507" s="158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16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</row>
    <row r="508" spans="1:43" ht="15" x14ac:dyDescent="0.2">
      <c r="A508" s="158"/>
      <c r="B508" s="158"/>
      <c r="C508" s="158"/>
      <c r="D508" s="158"/>
      <c r="E508" s="158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16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</row>
    <row r="509" spans="1:43" ht="15" x14ac:dyDescent="0.2">
      <c r="A509" s="158"/>
      <c r="B509" s="158"/>
      <c r="C509" s="158"/>
      <c r="D509" s="158"/>
      <c r="E509" s="158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16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</row>
    <row r="510" spans="1:43" ht="15" x14ac:dyDescent="0.2">
      <c r="A510" s="158"/>
      <c r="B510" s="158"/>
      <c r="C510" s="158"/>
      <c r="D510" s="158"/>
      <c r="E510" s="158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16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</row>
    <row r="511" spans="1:43" ht="15" x14ac:dyDescent="0.2">
      <c r="A511" s="158"/>
      <c r="B511" s="158"/>
      <c r="C511" s="158"/>
      <c r="D511" s="158"/>
      <c r="E511" s="158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16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</row>
    <row r="512" spans="1:43" ht="15" x14ac:dyDescent="0.2">
      <c r="A512" s="158"/>
      <c r="B512" s="158"/>
      <c r="C512" s="158"/>
      <c r="D512" s="158"/>
      <c r="E512" s="158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16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</row>
    <row r="513" spans="1:43" ht="15" x14ac:dyDescent="0.2">
      <c r="A513" s="158"/>
      <c r="B513" s="158"/>
      <c r="C513" s="158"/>
      <c r="D513" s="158"/>
      <c r="E513" s="158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16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</row>
    <row r="514" spans="1:43" ht="15" x14ac:dyDescent="0.2">
      <c r="A514" s="158"/>
      <c r="B514" s="158"/>
      <c r="C514" s="158"/>
      <c r="D514" s="158"/>
      <c r="E514" s="158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16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</row>
    <row r="515" spans="1:43" ht="15" x14ac:dyDescent="0.2">
      <c r="A515" s="158"/>
      <c r="B515" s="158"/>
      <c r="C515" s="158"/>
      <c r="D515" s="158"/>
      <c r="E515" s="158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16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</row>
    <row r="516" spans="1:43" ht="15" x14ac:dyDescent="0.2">
      <c r="A516" s="158"/>
      <c r="B516" s="158"/>
      <c r="C516" s="158"/>
      <c r="D516" s="158"/>
      <c r="E516" s="158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16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</row>
    <row r="517" spans="1:43" ht="15" x14ac:dyDescent="0.2">
      <c r="A517" s="158"/>
      <c r="B517" s="158"/>
      <c r="C517" s="158"/>
      <c r="D517" s="158"/>
      <c r="E517" s="158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16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</row>
    <row r="518" spans="1:43" ht="15" x14ac:dyDescent="0.2">
      <c r="A518" s="158"/>
      <c r="B518" s="158"/>
      <c r="C518" s="158"/>
      <c r="D518" s="158"/>
      <c r="E518" s="158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16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</row>
    <row r="519" spans="1:43" ht="15" x14ac:dyDescent="0.2">
      <c r="A519" s="158"/>
      <c r="B519" s="158"/>
      <c r="C519" s="158"/>
      <c r="D519" s="158"/>
      <c r="E519" s="158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16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</row>
    <row r="520" spans="1:43" ht="15" x14ac:dyDescent="0.2">
      <c r="A520" s="158"/>
      <c r="B520" s="158"/>
      <c r="C520" s="158"/>
      <c r="D520" s="158"/>
      <c r="E520" s="158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16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</row>
    <row r="521" spans="1:43" ht="15" x14ac:dyDescent="0.2">
      <c r="A521" s="158"/>
      <c r="B521" s="158"/>
      <c r="C521" s="158"/>
      <c r="D521" s="158"/>
      <c r="E521" s="158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16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</row>
    <row r="522" spans="1:43" ht="15" x14ac:dyDescent="0.2">
      <c r="A522" s="158"/>
      <c r="B522" s="158"/>
      <c r="C522" s="158"/>
      <c r="D522" s="158"/>
      <c r="E522" s="158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16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</row>
    <row r="523" spans="1:43" ht="15" x14ac:dyDescent="0.2">
      <c r="A523" s="158"/>
      <c r="B523" s="158"/>
      <c r="C523" s="158"/>
      <c r="D523" s="158"/>
      <c r="E523" s="158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16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</row>
    <row r="524" spans="1:43" ht="15" x14ac:dyDescent="0.2">
      <c r="A524" s="158"/>
      <c r="B524" s="158"/>
      <c r="C524" s="158"/>
      <c r="D524" s="158"/>
      <c r="E524" s="158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16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</row>
    <row r="525" spans="1:43" ht="15" x14ac:dyDescent="0.2">
      <c r="A525" s="158"/>
      <c r="B525" s="158"/>
      <c r="C525" s="158"/>
      <c r="D525" s="158"/>
      <c r="E525" s="158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16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</row>
    <row r="526" spans="1:43" ht="15" x14ac:dyDescent="0.2">
      <c r="A526" s="158"/>
      <c r="B526" s="158"/>
      <c r="C526" s="158"/>
      <c r="D526" s="158"/>
      <c r="E526" s="158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16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</row>
    <row r="527" spans="1:43" ht="15" x14ac:dyDescent="0.2">
      <c r="A527" s="158"/>
      <c r="B527" s="158"/>
      <c r="C527" s="158"/>
      <c r="D527" s="158"/>
      <c r="E527" s="158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16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</row>
    <row r="528" spans="1:43" ht="15" x14ac:dyDescent="0.2">
      <c r="A528" s="158"/>
      <c r="B528" s="158"/>
      <c r="C528" s="158"/>
      <c r="D528" s="158"/>
      <c r="E528" s="158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16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</row>
    <row r="529" spans="1:43" ht="15" x14ac:dyDescent="0.2">
      <c r="A529" s="158"/>
      <c r="B529" s="158"/>
      <c r="C529" s="158"/>
      <c r="D529" s="158"/>
      <c r="E529" s="158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16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</row>
    <row r="530" spans="1:43" ht="15" x14ac:dyDescent="0.2">
      <c r="A530" s="158"/>
      <c r="B530" s="158"/>
      <c r="C530" s="158"/>
      <c r="D530" s="158"/>
      <c r="E530" s="158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16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</row>
    <row r="531" spans="1:43" ht="15" x14ac:dyDescent="0.2">
      <c r="A531" s="158"/>
      <c r="B531" s="158"/>
      <c r="C531" s="158"/>
      <c r="D531" s="158"/>
      <c r="E531" s="158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16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</row>
    <row r="532" spans="1:43" ht="15" x14ac:dyDescent="0.2">
      <c r="A532" s="158"/>
      <c r="B532" s="158"/>
      <c r="C532" s="158"/>
      <c r="D532" s="158"/>
      <c r="E532" s="158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16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</row>
    <row r="533" spans="1:43" ht="15" x14ac:dyDescent="0.2">
      <c r="A533" s="158"/>
      <c r="B533" s="158"/>
      <c r="C533" s="158"/>
      <c r="D533" s="158"/>
      <c r="E533" s="158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16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</row>
    <row r="534" spans="1:43" ht="15" x14ac:dyDescent="0.2">
      <c r="A534" s="158"/>
      <c r="B534" s="158"/>
      <c r="C534" s="158"/>
      <c r="D534" s="158"/>
      <c r="E534" s="158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16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</row>
    <row r="535" spans="1:43" ht="15" x14ac:dyDescent="0.2">
      <c r="A535" s="158"/>
      <c r="B535" s="158"/>
      <c r="C535" s="158"/>
      <c r="D535" s="158"/>
      <c r="E535" s="158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16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</row>
    <row r="536" spans="1:43" ht="15" x14ac:dyDescent="0.2">
      <c r="A536" s="158"/>
      <c r="B536" s="158"/>
      <c r="C536" s="158"/>
      <c r="D536" s="158"/>
      <c r="E536" s="158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16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</row>
    <row r="537" spans="1:43" ht="15" x14ac:dyDescent="0.2">
      <c r="A537" s="158"/>
      <c r="B537" s="158"/>
      <c r="C537" s="158"/>
      <c r="D537" s="158"/>
      <c r="E537" s="158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16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</row>
    <row r="538" spans="1:43" ht="15" x14ac:dyDescent="0.2">
      <c r="A538" s="158"/>
      <c r="B538" s="158"/>
      <c r="C538" s="158"/>
      <c r="D538" s="158"/>
      <c r="E538" s="158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16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</row>
    <row r="539" spans="1:43" ht="15" x14ac:dyDescent="0.2">
      <c r="A539" s="158"/>
      <c r="B539" s="158"/>
      <c r="C539" s="158"/>
      <c r="D539" s="158"/>
      <c r="E539" s="158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16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</row>
    <row r="540" spans="1:43" ht="15" x14ac:dyDescent="0.2">
      <c r="A540" s="158"/>
      <c r="B540" s="158"/>
      <c r="C540" s="158"/>
      <c r="D540" s="158"/>
      <c r="E540" s="158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16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</row>
    <row r="541" spans="1:43" ht="15" x14ac:dyDescent="0.2">
      <c r="A541" s="158"/>
      <c r="B541" s="158"/>
      <c r="C541" s="158"/>
      <c r="D541" s="158"/>
      <c r="E541" s="158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16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</row>
    <row r="542" spans="1:43" ht="15" x14ac:dyDescent="0.2">
      <c r="A542" s="158"/>
      <c r="B542" s="158"/>
      <c r="C542" s="158"/>
      <c r="D542" s="158"/>
      <c r="E542" s="158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16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</row>
    <row r="543" spans="1:43" ht="15" x14ac:dyDescent="0.2">
      <c r="A543" s="158"/>
      <c r="B543" s="158"/>
      <c r="C543" s="158"/>
      <c r="D543" s="158"/>
      <c r="E543" s="158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16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</row>
    <row r="544" spans="1:43" ht="15" x14ac:dyDescent="0.2">
      <c r="A544" s="158"/>
      <c r="B544" s="158"/>
      <c r="C544" s="158"/>
      <c r="D544" s="158"/>
      <c r="E544" s="158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16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</row>
    <row r="545" spans="1:43" ht="15" x14ac:dyDescent="0.2">
      <c r="A545" s="158"/>
      <c r="B545" s="158"/>
      <c r="C545" s="158"/>
      <c r="D545" s="158"/>
      <c r="E545" s="158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16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</row>
    <row r="546" spans="1:43" ht="15" x14ac:dyDescent="0.2">
      <c r="A546" s="158"/>
      <c r="B546" s="158"/>
      <c r="C546" s="158"/>
      <c r="D546" s="158"/>
      <c r="E546" s="158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16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</row>
    <row r="547" spans="1:43" ht="15" x14ac:dyDescent="0.2">
      <c r="A547" s="158"/>
      <c r="B547" s="158"/>
      <c r="C547" s="158"/>
      <c r="D547" s="158"/>
      <c r="E547" s="158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16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</row>
    <row r="548" spans="1:43" ht="15" x14ac:dyDescent="0.2">
      <c r="A548" s="158"/>
      <c r="B548" s="158"/>
      <c r="C548" s="158"/>
      <c r="D548" s="158"/>
      <c r="E548" s="158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16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</row>
    <row r="549" spans="1:43" ht="15" x14ac:dyDescent="0.2">
      <c r="A549" s="158"/>
      <c r="B549" s="158"/>
      <c r="C549" s="158"/>
      <c r="D549" s="158"/>
      <c r="E549" s="158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16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</row>
    <row r="550" spans="1:43" ht="15" x14ac:dyDescent="0.2">
      <c r="A550" s="158"/>
      <c r="B550" s="158"/>
      <c r="C550" s="158"/>
      <c r="D550" s="158"/>
      <c r="E550" s="158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16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</row>
    <row r="551" spans="1:43" ht="15" x14ac:dyDescent="0.2">
      <c r="A551" s="158"/>
      <c r="B551" s="158"/>
      <c r="C551" s="158"/>
      <c r="D551" s="158"/>
      <c r="E551" s="158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16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</row>
    <row r="552" spans="1:43" ht="15" x14ac:dyDescent="0.2">
      <c r="A552" s="158"/>
      <c r="B552" s="158"/>
      <c r="C552" s="158"/>
      <c r="D552" s="158"/>
      <c r="E552" s="158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16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</row>
    <row r="553" spans="1:43" ht="15" x14ac:dyDescent="0.2">
      <c r="A553" s="158"/>
      <c r="B553" s="158"/>
      <c r="C553" s="158"/>
      <c r="D553" s="158"/>
      <c r="E553" s="158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16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</row>
    <row r="554" spans="1:43" ht="15" x14ac:dyDescent="0.2">
      <c r="A554" s="158"/>
      <c r="B554" s="158"/>
      <c r="C554" s="158"/>
      <c r="D554" s="158"/>
      <c r="E554" s="158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16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</row>
    <row r="555" spans="1:43" ht="15" x14ac:dyDescent="0.2">
      <c r="A555" s="158"/>
      <c r="B555" s="158"/>
      <c r="C555" s="158"/>
      <c r="D555" s="158"/>
      <c r="E555" s="158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16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</row>
    <row r="556" spans="1:43" ht="15" x14ac:dyDescent="0.2">
      <c r="A556" s="158"/>
      <c r="B556" s="158"/>
      <c r="C556" s="158"/>
      <c r="D556" s="158"/>
      <c r="E556" s="158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16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</row>
    <row r="557" spans="1:43" ht="15" x14ac:dyDescent="0.2">
      <c r="A557" s="158"/>
      <c r="B557" s="158"/>
      <c r="C557" s="158"/>
      <c r="D557" s="158"/>
      <c r="E557" s="158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16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</row>
    <row r="558" spans="1:43" ht="15" x14ac:dyDescent="0.2">
      <c r="A558" s="158"/>
      <c r="B558" s="158"/>
      <c r="C558" s="158"/>
      <c r="D558" s="158"/>
      <c r="E558" s="158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16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</row>
    <row r="559" spans="1:43" ht="15" x14ac:dyDescent="0.2">
      <c r="A559" s="158"/>
      <c r="B559" s="158"/>
      <c r="C559" s="158"/>
      <c r="D559" s="158"/>
      <c r="E559" s="158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16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</row>
    <row r="560" spans="1:43" ht="15" x14ac:dyDescent="0.2">
      <c r="A560" s="158"/>
      <c r="B560" s="158"/>
      <c r="C560" s="158"/>
      <c r="D560" s="158"/>
      <c r="E560" s="158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16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</row>
    <row r="561" spans="1:43" ht="15" x14ac:dyDescent="0.2">
      <c r="A561" s="158"/>
      <c r="B561" s="158"/>
      <c r="C561" s="158"/>
      <c r="D561" s="158"/>
      <c r="E561" s="158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16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</row>
    <row r="562" spans="1:43" ht="15" x14ac:dyDescent="0.2">
      <c r="A562" s="158"/>
      <c r="B562" s="158"/>
      <c r="C562" s="158"/>
      <c r="D562" s="158"/>
      <c r="E562" s="158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16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</row>
    <row r="563" spans="1:43" ht="15" x14ac:dyDescent="0.2">
      <c r="A563" s="158"/>
      <c r="B563" s="158"/>
      <c r="C563" s="158"/>
      <c r="D563" s="158"/>
      <c r="E563" s="158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16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</row>
    <row r="564" spans="1:43" ht="15" x14ac:dyDescent="0.2">
      <c r="A564" s="158"/>
      <c r="B564" s="158"/>
      <c r="C564" s="158"/>
      <c r="D564" s="158"/>
      <c r="E564" s="158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16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</row>
    <row r="565" spans="1:43" ht="15" x14ac:dyDescent="0.2">
      <c r="A565" s="158"/>
      <c r="B565" s="158"/>
      <c r="C565" s="158"/>
      <c r="D565" s="158"/>
      <c r="E565" s="158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16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</row>
    <row r="566" spans="1:43" ht="15" x14ac:dyDescent="0.2">
      <c r="A566" s="158"/>
      <c r="B566" s="158"/>
      <c r="C566" s="158"/>
      <c r="D566" s="158"/>
      <c r="E566" s="158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16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</row>
    <row r="567" spans="1:43" ht="15" x14ac:dyDescent="0.2">
      <c r="A567" s="158"/>
      <c r="B567" s="158"/>
      <c r="C567" s="158"/>
      <c r="D567" s="158"/>
      <c r="E567" s="158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16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</row>
    <row r="568" spans="1:43" ht="15" x14ac:dyDescent="0.2">
      <c r="A568" s="158"/>
      <c r="B568" s="158"/>
      <c r="C568" s="158"/>
      <c r="D568" s="158"/>
      <c r="E568" s="158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16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</row>
    <row r="569" spans="1:43" ht="15" x14ac:dyDescent="0.2">
      <c r="A569" s="158"/>
      <c r="B569" s="158"/>
      <c r="C569" s="158"/>
      <c r="D569" s="158"/>
      <c r="E569" s="158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16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</row>
    <row r="570" spans="1:43" ht="15" x14ac:dyDescent="0.2">
      <c r="A570" s="158"/>
      <c r="B570" s="158"/>
      <c r="C570" s="158"/>
      <c r="D570" s="158"/>
      <c r="E570" s="158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16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</row>
    <row r="571" spans="1:43" ht="15" x14ac:dyDescent="0.2">
      <c r="A571" s="158"/>
      <c r="B571" s="158"/>
      <c r="C571" s="158"/>
      <c r="D571" s="158"/>
      <c r="E571" s="158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16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</row>
    <row r="572" spans="1:43" ht="15" x14ac:dyDescent="0.2">
      <c r="A572" s="158"/>
      <c r="B572" s="158"/>
      <c r="C572" s="158"/>
      <c r="D572" s="158"/>
      <c r="E572" s="158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16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</row>
    <row r="573" spans="1:43" ht="15" x14ac:dyDescent="0.2">
      <c r="A573" s="158"/>
      <c r="B573" s="158"/>
      <c r="C573" s="158"/>
      <c r="D573" s="158"/>
      <c r="E573" s="158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16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</row>
    <row r="574" spans="1:43" ht="15" x14ac:dyDescent="0.2">
      <c r="A574" s="158"/>
      <c r="B574" s="158"/>
      <c r="C574" s="158"/>
      <c r="D574" s="158"/>
      <c r="E574" s="158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16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</row>
    <row r="575" spans="1:43" ht="15" x14ac:dyDescent="0.2">
      <c r="A575" s="158"/>
      <c r="B575" s="158"/>
      <c r="C575" s="158"/>
      <c r="D575" s="158"/>
      <c r="E575" s="158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16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</row>
    <row r="576" spans="1:43" ht="15" x14ac:dyDescent="0.2">
      <c r="A576" s="158"/>
      <c r="B576" s="158"/>
      <c r="C576" s="158"/>
      <c r="D576" s="158"/>
      <c r="E576" s="158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16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</row>
    <row r="577" spans="1:43" ht="15" x14ac:dyDescent="0.2">
      <c r="A577" s="158"/>
      <c r="B577" s="158"/>
      <c r="C577" s="158"/>
      <c r="D577" s="158"/>
      <c r="E577" s="158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16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</row>
    <row r="578" spans="1:43" ht="15" x14ac:dyDescent="0.2">
      <c r="A578" s="158"/>
      <c r="B578" s="158"/>
      <c r="C578" s="158"/>
      <c r="D578" s="158"/>
      <c r="E578" s="158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16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</row>
    <row r="579" spans="1:43" ht="15" x14ac:dyDescent="0.2">
      <c r="A579" s="158"/>
      <c r="B579" s="158"/>
      <c r="C579" s="158"/>
      <c r="D579" s="158"/>
      <c r="E579" s="158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16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</row>
    <row r="580" spans="1:43" ht="15" x14ac:dyDescent="0.2">
      <c r="A580" s="158"/>
      <c r="B580" s="158"/>
      <c r="C580" s="158"/>
      <c r="D580" s="158"/>
      <c r="E580" s="158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16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</row>
    <row r="581" spans="1:43" ht="15" x14ac:dyDescent="0.2">
      <c r="A581" s="158"/>
      <c r="B581" s="158"/>
      <c r="C581" s="158"/>
      <c r="D581" s="158"/>
      <c r="E581" s="158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16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</row>
    <row r="582" spans="1:43" ht="15" x14ac:dyDescent="0.2">
      <c r="A582" s="158"/>
      <c r="B582" s="158"/>
      <c r="C582" s="158"/>
      <c r="D582" s="158"/>
      <c r="E582" s="158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16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</row>
    <row r="583" spans="1:43" ht="15" x14ac:dyDescent="0.2">
      <c r="A583" s="158"/>
      <c r="B583" s="158"/>
      <c r="C583" s="158"/>
      <c r="D583" s="158"/>
      <c r="E583" s="158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16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</row>
    <row r="584" spans="1:43" ht="15" x14ac:dyDescent="0.2">
      <c r="A584" s="158"/>
      <c r="B584" s="158"/>
      <c r="C584" s="158"/>
      <c r="D584" s="158"/>
      <c r="E584" s="158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16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</row>
    <row r="585" spans="1:43" ht="15" x14ac:dyDescent="0.2">
      <c r="A585" s="158"/>
      <c r="B585" s="158"/>
      <c r="C585" s="158"/>
      <c r="D585" s="158"/>
      <c r="E585" s="158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16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</row>
    <row r="586" spans="1:43" ht="15" x14ac:dyDescent="0.2">
      <c r="A586" s="158"/>
      <c r="B586" s="158"/>
      <c r="C586" s="158"/>
      <c r="D586" s="158"/>
      <c r="E586" s="158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16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</row>
    <row r="587" spans="1:43" ht="15" x14ac:dyDescent="0.2">
      <c r="A587" s="158"/>
      <c r="B587" s="158"/>
      <c r="C587" s="158"/>
      <c r="D587" s="158"/>
      <c r="E587" s="158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16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</row>
    <row r="588" spans="1:43" ht="15" x14ac:dyDescent="0.2">
      <c r="A588" s="158"/>
      <c r="B588" s="158"/>
      <c r="C588" s="158"/>
      <c r="D588" s="158"/>
      <c r="E588" s="158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16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</row>
    <row r="589" spans="1:43" ht="15" x14ac:dyDescent="0.2">
      <c r="A589" s="158"/>
      <c r="B589" s="158"/>
      <c r="C589" s="158"/>
      <c r="D589" s="158"/>
      <c r="E589" s="158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16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</row>
    <row r="590" spans="1:43" ht="15" x14ac:dyDescent="0.2">
      <c r="A590" s="158"/>
      <c r="B590" s="158"/>
      <c r="C590" s="158"/>
      <c r="D590" s="158"/>
      <c r="E590" s="158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16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</row>
    <row r="591" spans="1:43" ht="15" x14ac:dyDescent="0.2">
      <c r="A591" s="158"/>
      <c r="B591" s="158"/>
      <c r="C591" s="158"/>
      <c r="D591" s="158"/>
      <c r="E591" s="158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16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</row>
    <row r="592" spans="1:43" ht="15" x14ac:dyDescent="0.2">
      <c r="A592" s="158"/>
      <c r="B592" s="158"/>
      <c r="C592" s="158"/>
      <c r="D592" s="158"/>
      <c r="E592" s="158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16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</row>
    <row r="593" spans="1:43" ht="15" x14ac:dyDescent="0.2">
      <c r="A593" s="158"/>
      <c r="B593" s="158"/>
      <c r="C593" s="158"/>
      <c r="D593" s="158"/>
      <c r="E593" s="158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16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</row>
    <row r="594" spans="1:43" ht="15" x14ac:dyDescent="0.2">
      <c r="A594" s="158"/>
      <c r="B594" s="158"/>
      <c r="C594" s="158"/>
      <c r="D594" s="158"/>
      <c r="E594" s="158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16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</row>
    <row r="595" spans="1:43" ht="15" x14ac:dyDescent="0.2">
      <c r="A595" s="158"/>
      <c r="B595" s="158"/>
      <c r="C595" s="158"/>
      <c r="D595" s="158"/>
      <c r="E595" s="158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16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</row>
    <row r="596" spans="1:43" ht="15" x14ac:dyDescent="0.2">
      <c r="A596" s="158"/>
      <c r="B596" s="158"/>
      <c r="C596" s="158"/>
      <c r="D596" s="158"/>
      <c r="E596" s="158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16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</row>
    <row r="597" spans="1:43" ht="15" x14ac:dyDescent="0.2">
      <c r="A597" s="158"/>
      <c r="B597" s="158"/>
      <c r="C597" s="158"/>
      <c r="D597" s="158"/>
      <c r="E597" s="158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16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</row>
    <row r="598" spans="1:43" ht="15" x14ac:dyDescent="0.2">
      <c r="A598" s="158"/>
      <c r="B598" s="158"/>
      <c r="C598" s="158"/>
      <c r="D598" s="158"/>
      <c r="E598" s="158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16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</row>
    <row r="599" spans="1:43" ht="15" x14ac:dyDescent="0.2">
      <c r="A599" s="158"/>
      <c r="B599" s="158"/>
      <c r="C599" s="158"/>
      <c r="D599" s="158"/>
      <c r="E599" s="158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16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</row>
    <row r="600" spans="1:43" ht="15" x14ac:dyDescent="0.2">
      <c r="A600" s="158"/>
      <c r="B600" s="158"/>
      <c r="C600" s="158"/>
      <c r="D600" s="158"/>
      <c r="E600" s="158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16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</row>
    <row r="601" spans="1:43" ht="15" x14ac:dyDescent="0.2">
      <c r="A601" s="158"/>
      <c r="B601" s="158"/>
      <c r="C601" s="158"/>
      <c r="D601" s="158"/>
      <c r="E601" s="158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16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</row>
    <row r="602" spans="1:43" ht="15" x14ac:dyDescent="0.2">
      <c r="A602" s="158"/>
      <c r="B602" s="158"/>
      <c r="C602" s="158"/>
      <c r="D602" s="158"/>
      <c r="E602" s="158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16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</row>
    <row r="603" spans="1:43" ht="15" x14ac:dyDescent="0.2">
      <c r="A603" s="158"/>
      <c r="B603" s="158"/>
      <c r="C603" s="158"/>
      <c r="D603" s="158"/>
      <c r="E603" s="158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16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</row>
    <row r="604" spans="1:43" ht="15" x14ac:dyDescent="0.2">
      <c r="A604" s="158"/>
      <c r="B604" s="158"/>
      <c r="C604" s="158"/>
      <c r="D604" s="158"/>
      <c r="E604" s="158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16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</row>
    <row r="605" spans="1:43" ht="15" x14ac:dyDescent="0.2">
      <c r="A605" s="158"/>
      <c r="B605" s="158"/>
      <c r="C605" s="158"/>
      <c r="D605" s="158"/>
      <c r="E605" s="158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16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</row>
    <row r="606" spans="1:43" ht="15" x14ac:dyDescent="0.2">
      <c r="A606" s="158"/>
      <c r="B606" s="158"/>
      <c r="C606" s="158"/>
      <c r="D606" s="158"/>
      <c r="E606" s="158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16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</row>
    <row r="607" spans="1:43" ht="15" x14ac:dyDescent="0.2">
      <c r="A607" s="158"/>
      <c r="B607" s="158"/>
      <c r="C607" s="158"/>
      <c r="D607" s="158"/>
      <c r="E607" s="158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16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</row>
    <row r="608" spans="1:43" ht="15" x14ac:dyDescent="0.2">
      <c r="A608" s="158"/>
      <c r="B608" s="158"/>
      <c r="C608" s="158"/>
      <c r="D608" s="158"/>
      <c r="E608" s="158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16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</row>
    <row r="609" spans="1:43" ht="15" x14ac:dyDescent="0.2">
      <c r="A609" s="158"/>
      <c r="B609" s="158"/>
      <c r="C609" s="158"/>
      <c r="D609" s="158"/>
      <c r="E609" s="158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16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</row>
    <row r="610" spans="1:43" ht="15" x14ac:dyDescent="0.2">
      <c r="A610" s="158"/>
      <c r="B610" s="158"/>
      <c r="C610" s="158"/>
      <c r="D610" s="158"/>
      <c r="E610" s="158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16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</row>
    <row r="611" spans="1:43" ht="15" x14ac:dyDescent="0.2">
      <c r="A611" s="158"/>
      <c r="B611" s="158"/>
      <c r="C611" s="158"/>
      <c r="D611" s="158"/>
      <c r="E611" s="158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16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</row>
    <row r="612" spans="1:43" ht="15" x14ac:dyDescent="0.2">
      <c r="A612" s="158"/>
      <c r="B612" s="158"/>
      <c r="C612" s="158"/>
      <c r="D612" s="158"/>
      <c r="E612" s="158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16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</row>
    <row r="613" spans="1:43" ht="15" x14ac:dyDescent="0.2">
      <c r="A613" s="158"/>
      <c r="B613" s="158"/>
      <c r="C613" s="158"/>
      <c r="D613" s="158"/>
      <c r="E613" s="158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16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</row>
    <row r="614" spans="1:43" ht="15" x14ac:dyDescent="0.2">
      <c r="A614" s="158"/>
      <c r="B614" s="158"/>
      <c r="C614" s="158"/>
      <c r="D614" s="158"/>
      <c r="E614" s="158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16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</row>
    <row r="615" spans="1:43" ht="15" x14ac:dyDescent="0.2">
      <c r="A615" s="158"/>
      <c r="B615" s="158"/>
      <c r="C615" s="158"/>
      <c r="D615" s="158"/>
      <c r="E615" s="158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16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</row>
    <row r="616" spans="1:43" ht="15" x14ac:dyDescent="0.2">
      <c r="A616" s="158"/>
      <c r="B616" s="158"/>
      <c r="C616" s="158"/>
      <c r="D616" s="158"/>
      <c r="E616" s="158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16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</row>
    <row r="617" spans="1:43" ht="15" x14ac:dyDescent="0.2">
      <c r="A617" s="158"/>
      <c r="B617" s="158"/>
      <c r="C617" s="158"/>
      <c r="D617" s="158"/>
      <c r="E617" s="158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16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</row>
    <row r="618" spans="1:43" ht="15" x14ac:dyDescent="0.2">
      <c r="A618" s="158"/>
      <c r="B618" s="158"/>
      <c r="C618" s="158"/>
      <c r="D618" s="158"/>
      <c r="E618" s="158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16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</row>
    <row r="619" spans="1:43" ht="15" x14ac:dyDescent="0.2">
      <c r="A619" s="158"/>
      <c r="B619" s="158"/>
      <c r="C619" s="158"/>
      <c r="D619" s="158"/>
      <c r="E619" s="158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16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</row>
    <row r="620" spans="1:43" ht="15" x14ac:dyDescent="0.2">
      <c r="A620" s="158"/>
      <c r="B620" s="158"/>
      <c r="C620" s="158"/>
      <c r="D620" s="158"/>
      <c r="E620" s="158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16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</row>
    <row r="621" spans="1:43" ht="15" x14ac:dyDescent="0.2">
      <c r="A621" s="158"/>
      <c r="B621" s="158"/>
      <c r="C621" s="158"/>
      <c r="D621" s="158"/>
      <c r="E621" s="158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16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</row>
    <row r="622" spans="1:43" ht="15" x14ac:dyDescent="0.2">
      <c r="A622" s="158"/>
      <c r="B622" s="158"/>
      <c r="C622" s="158"/>
      <c r="D622" s="158"/>
      <c r="E622" s="158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16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</row>
    <row r="623" spans="1:43" ht="15" x14ac:dyDescent="0.2">
      <c r="A623" s="158"/>
      <c r="B623" s="158"/>
      <c r="C623" s="158"/>
      <c r="D623" s="158"/>
      <c r="E623" s="158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16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</row>
    <row r="624" spans="1:43" ht="15" x14ac:dyDescent="0.2">
      <c r="A624" s="158"/>
      <c r="B624" s="158"/>
      <c r="C624" s="158"/>
      <c r="D624" s="158"/>
      <c r="E624" s="158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16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</row>
    <row r="625" spans="1:43" ht="15" x14ac:dyDescent="0.2">
      <c r="A625" s="158"/>
      <c r="B625" s="158"/>
      <c r="C625" s="158"/>
      <c r="D625" s="158"/>
      <c r="E625" s="158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16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</row>
    <row r="626" spans="1:43" ht="15" x14ac:dyDescent="0.2">
      <c r="A626" s="158"/>
      <c r="B626" s="158"/>
      <c r="C626" s="158"/>
      <c r="D626" s="158"/>
      <c r="E626" s="158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16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</row>
    <row r="627" spans="1:43" ht="15" x14ac:dyDescent="0.2">
      <c r="A627" s="158"/>
      <c r="B627" s="158"/>
      <c r="C627" s="158"/>
      <c r="D627" s="158"/>
      <c r="E627" s="158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16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</row>
    <row r="628" spans="1:43" ht="15" x14ac:dyDescent="0.2">
      <c r="A628" s="158"/>
      <c r="B628" s="158"/>
      <c r="C628" s="158"/>
      <c r="D628" s="158"/>
      <c r="E628" s="158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16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</row>
    <row r="629" spans="1:43" ht="15" x14ac:dyDescent="0.2">
      <c r="A629" s="158"/>
      <c r="B629" s="158"/>
      <c r="C629" s="158"/>
      <c r="D629" s="158"/>
      <c r="E629" s="158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16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</row>
    <row r="630" spans="1:43" ht="15" x14ac:dyDescent="0.2">
      <c r="A630" s="158"/>
      <c r="B630" s="158"/>
      <c r="C630" s="158"/>
      <c r="D630" s="158"/>
      <c r="E630" s="158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16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</row>
    <row r="631" spans="1:43" ht="15" x14ac:dyDescent="0.2">
      <c r="A631" s="158"/>
      <c r="B631" s="158"/>
      <c r="C631" s="158"/>
      <c r="D631" s="158"/>
      <c r="E631" s="158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16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</row>
    <row r="632" spans="1:43" ht="15" x14ac:dyDescent="0.2">
      <c r="A632" s="158"/>
      <c r="B632" s="158"/>
      <c r="C632" s="158"/>
      <c r="D632" s="158"/>
      <c r="E632" s="158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16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</row>
    <row r="633" spans="1:43" ht="15" x14ac:dyDescent="0.2">
      <c r="A633" s="158"/>
      <c r="B633" s="158"/>
      <c r="C633" s="158"/>
      <c r="D633" s="158"/>
      <c r="E633" s="158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16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</row>
    <row r="634" spans="1:43" ht="15" x14ac:dyDescent="0.2">
      <c r="A634" s="158"/>
      <c r="B634" s="158"/>
      <c r="C634" s="158"/>
      <c r="D634" s="158"/>
      <c r="E634" s="158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16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</row>
    <row r="635" spans="1:43" ht="15" x14ac:dyDescent="0.2">
      <c r="A635" s="158"/>
      <c r="B635" s="158"/>
      <c r="C635" s="158"/>
      <c r="D635" s="158"/>
      <c r="E635" s="158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16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</row>
    <row r="636" spans="1:43" ht="15" x14ac:dyDescent="0.2">
      <c r="A636" s="158"/>
      <c r="B636" s="158"/>
      <c r="C636" s="158"/>
      <c r="D636" s="158"/>
      <c r="E636" s="158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16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</row>
    <row r="637" spans="1:43" ht="15" x14ac:dyDescent="0.2">
      <c r="A637" s="158"/>
      <c r="B637" s="158"/>
      <c r="C637" s="158"/>
      <c r="D637" s="158"/>
      <c r="E637" s="158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16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</row>
    <row r="638" spans="1:43" ht="15" x14ac:dyDescent="0.2">
      <c r="A638" s="158"/>
      <c r="B638" s="158"/>
      <c r="C638" s="158"/>
      <c r="D638" s="158"/>
      <c r="E638" s="158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16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</row>
    <row r="639" spans="1:43" ht="15" x14ac:dyDescent="0.2">
      <c r="A639" s="158"/>
      <c r="B639" s="158"/>
      <c r="C639" s="158"/>
      <c r="D639" s="158"/>
      <c r="E639" s="158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16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</row>
    <row r="640" spans="1:43" ht="15" x14ac:dyDescent="0.2">
      <c r="A640" s="158"/>
      <c r="B640" s="158"/>
      <c r="C640" s="158"/>
      <c r="D640" s="158"/>
      <c r="E640" s="158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16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</row>
    <row r="641" spans="1:43" ht="15" x14ac:dyDescent="0.2">
      <c r="A641" s="158"/>
      <c r="B641" s="158"/>
      <c r="C641" s="158"/>
      <c r="D641" s="158"/>
      <c r="E641" s="158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16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</row>
    <row r="642" spans="1:43" ht="15" x14ac:dyDescent="0.2">
      <c r="A642" s="158"/>
      <c r="B642" s="158"/>
      <c r="C642" s="158"/>
      <c r="D642" s="158"/>
      <c r="E642" s="158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16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</row>
    <row r="643" spans="1:43" ht="15" x14ac:dyDescent="0.2">
      <c r="A643" s="158"/>
      <c r="B643" s="158"/>
      <c r="C643" s="158"/>
      <c r="D643" s="158"/>
      <c r="E643" s="158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16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</row>
    <row r="644" spans="1:43" ht="15" x14ac:dyDescent="0.2">
      <c r="A644" s="158"/>
      <c r="B644" s="158"/>
      <c r="C644" s="158"/>
      <c r="D644" s="158"/>
      <c r="E644" s="158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16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</row>
    <row r="645" spans="1:43" ht="15" x14ac:dyDescent="0.2">
      <c r="A645" s="158"/>
      <c r="B645" s="158"/>
      <c r="C645" s="158"/>
      <c r="D645" s="158"/>
      <c r="E645" s="158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16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</row>
    <row r="646" spans="1:43" ht="15" x14ac:dyDescent="0.2">
      <c r="A646" s="158"/>
      <c r="B646" s="158"/>
      <c r="C646" s="158"/>
      <c r="D646" s="158"/>
      <c r="E646" s="158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16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</row>
    <row r="647" spans="1:43" ht="15" x14ac:dyDescent="0.2">
      <c r="A647" s="158"/>
      <c r="B647" s="158"/>
      <c r="C647" s="158"/>
      <c r="D647" s="158"/>
      <c r="E647" s="158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16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</row>
    <row r="648" spans="1:43" ht="15" x14ac:dyDescent="0.2">
      <c r="A648" s="158"/>
      <c r="B648" s="158"/>
      <c r="C648" s="158"/>
      <c r="D648" s="158"/>
      <c r="E648" s="158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16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</row>
    <row r="649" spans="1:43" ht="15" x14ac:dyDescent="0.2">
      <c r="A649" s="158"/>
      <c r="B649" s="158"/>
      <c r="C649" s="158"/>
      <c r="D649" s="158"/>
      <c r="E649" s="158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16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</row>
    <row r="650" spans="1:43" ht="15" x14ac:dyDescent="0.2">
      <c r="A650" s="158"/>
      <c r="B650" s="158"/>
      <c r="C650" s="158"/>
      <c r="D650" s="158"/>
      <c r="E650" s="158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16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</row>
    <row r="651" spans="1:43" ht="15" x14ac:dyDescent="0.2">
      <c r="A651" s="158"/>
      <c r="B651" s="158"/>
      <c r="C651" s="158"/>
      <c r="D651" s="158"/>
      <c r="E651" s="158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16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</row>
    <row r="652" spans="1:43" ht="15" x14ac:dyDescent="0.2">
      <c r="A652" s="158"/>
      <c r="B652" s="158"/>
      <c r="C652" s="158"/>
      <c r="D652" s="158"/>
      <c r="E652" s="158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16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</row>
    <row r="653" spans="1:43" ht="15" x14ac:dyDescent="0.2">
      <c r="A653" s="158"/>
      <c r="B653" s="158"/>
      <c r="C653" s="158"/>
      <c r="D653" s="158"/>
      <c r="E653" s="158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16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</row>
    <row r="654" spans="1:43" ht="15" x14ac:dyDescent="0.2">
      <c r="A654" s="158"/>
      <c r="B654" s="158"/>
      <c r="C654" s="158"/>
      <c r="D654" s="158"/>
      <c r="E654" s="158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16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</row>
    <row r="655" spans="1:43" ht="15" x14ac:dyDescent="0.2">
      <c r="A655" s="158"/>
      <c r="B655" s="158"/>
      <c r="C655" s="158"/>
      <c r="D655" s="158"/>
      <c r="E655" s="158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16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</row>
    <row r="656" spans="1:43" ht="15" x14ac:dyDescent="0.2">
      <c r="A656" s="158"/>
      <c r="B656" s="158"/>
      <c r="C656" s="158"/>
      <c r="D656" s="158"/>
      <c r="E656" s="158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16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</row>
    <row r="657" spans="1:43" ht="15" x14ac:dyDescent="0.2">
      <c r="A657" s="158"/>
      <c r="B657" s="158"/>
      <c r="C657" s="158"/>
      <c r="D657" s="158"/>
      <c r="E657" s="158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16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</row>
    <row r="658" spans="1:43" ht="15" x14ac:dyDescent="0.2">
      <c r="A658" s="158"/>
      <c r="B658" s="158"/>
      <c r="C658" s="158"/>
      <c r="D658" s="158"/>
      <c r="E658" s="158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16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</row>
    <row r="659" spans="1:43" ht="15" x14ac:dyDescent="0.2">
      <c r="A659" s="158"/>
      <c r="B659" s="158"/>
      <c r="C659" s="158"/>
      <c r="D659" s="158"/>
      <c r="E659" s="158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16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</row>
    <row r="660" spans="1:43" ht="15" x14ac:dyDescent="0.2">
      <c r="A660" s="158"/>
      <c r="B660" s="158"/>
      <c r="C660" s="158"/>
      <c r="D660" s="158"/>
      <c r="E660" s="158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16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</row>
    <row r="661" spans="1:43" ht="15" x14ac:dyDescent="0.2">
      <c r="A661" s="158"/>
      <c r="B661" s="158"/>
      <c r="C661" s="158"/>
      <c r="D661" s="158"/>
      <c r="E661" s="158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16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</row>
    <row r="662" spans="1:43" ht="15" x14ac:dyDescent="0.2">
      <c r="A662" s="158"/>
      <c r="B662" s="158"/>
      <c r="C662" s="158"/>
      <c r="D662" s="158"/>
      <c r="E662" s="158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16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</row>
    <row r="663" spans="1:43" ht="15" x14ac:dyDescent="0.2">
      <c r="A663" s="158"/>
      <c r="B663" s="158"/>
      <c r="C663" s="158"/>
      <c r="D663" s="158"/>
      <c r="E663" s="158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16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</row>
    <row r="664" spans="1:43" ht="15" x14ac:dyDescent="0.2">
      <c r="A664" s="158"/>
      <c r="B664" s="158"/>
      <c r="C664" s="158"/>
      <c r="D664" s="158"/>
      <c r="E664" s="158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16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</row>
    <row r="665" spans="1:43" ht="15" x14ac:dyDescent="0.2">
      <c r="A665" s="158"/>
      <c r="B665" s="158"/>
      <c r="C665" s="158"/>
      <c r="D665" s="158"/>
      <c r="E665" s="158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16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</row>
    <row r="666" spans="1:43" ht="15" x14ac:dyDescent="0.2">
      <c r="A666" s="158"/>
      <c r="B666" s="158"/>
      <c r="C666" s="158"/>
      <c r="D666" s="158"/>
      <c r="E666" s="158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16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</row>
    <row r="667" spans="1:43" ht="15" x14ac:dyDescent="0.2">
      <c r="A667" s="158"/>
      <c r="B667" s="158"/>
      <c r="C667" s="158"/>
      <c r="D667" s="158"/>
      <c r="E667" s="158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16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</row>
    <row r="668" spans="1:43" ht="15" x14ac:dyDescent="0.2">
      <c r="A668" s="158"/>
      <c r="B668" s="158"/>
      <c r="C668" s="158"/>
      <c r="D668" s="158"/>
      <c r="E668" s="158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16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</row>
    <row r="669" spans="1:43" ht="15" x14ac:dyDescent="0.2">
      <c r="A669" s="158"/>
      <c r="B669" s="158"/>
      <c r="C669" s="158"/>
      <c r="D669" s="158"/>
      <c r="E669" s="158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16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</row>
    <row r="670" spans="1:43" ht="15" x14ac:dyDescent="0.2">
      <c r="A670" s="158"/>
      <c r="B670" s="158"/>
      <c r="C670" s="158"/>
      <c r="D670" s="158"/>
      <c r="E670" s="158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16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</row>
    <row r="671" spans="1:43" ht="15" x14ac:dyDescent="0.2">
      <c r="A671" s="158"/>
      <c r="B671" s="158"/>
      <c r="C671" s="158"/>
      <c r="D671" s="158"/>
      <c r="E671" s="158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16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</row>
    <row r="672" spans="1:43" ht="15" x14ac:dyDescent="0.2">
      <c r="A672" s="158"/>
      <c r="B672" s="158"/>
      <c r="C672" s="158"/>
      <c r="D672" s="158"/>
      <c r="E672" s="158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16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</row>
    <row r="673" spans="1:43" ht="15" x14ac:dyDescent="0.2">
      <c r="A673" s="158"/>
      <c r="B673" s="158"/>
      <c r="C673" s="158"/>
      <c r="D673" s="158"/>
      <c r="E673" s="158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16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</row>
    <row r="674" spans="1:43" ht="15" x14ac:dyDescent="0.2">
      <c r="A674" s="158"/>
      <c r="B674" s="158"/>
      <c r="C674" s="158"/>
      <c r="D674" s="158"/>
      <c r="E674" s="158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16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</row>
    <row r="675" spans="1:43" ht="15" x14ac:dyDescent="0.2">
      <c r="A675" s="158"/>
      <c r="B675" s="158"/>
      <c r="C675" s="158"/>
      <c r="D675" s="158"/>
      <c r="E675" s="158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16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</row>
    <row r="676" spans="1:43" ht="15" x14ac:dyDescent="0.2">
      <c r="A676" s="158"/>
      <c r="B676" s="158"/>
      <c r="C676" s="158"/>
      <c r="D676" s="158"/>
      <c r="E676" s="158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16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</row>
    <row r="677" spans="1:43" ht="15" x14ac:dyDescent="0.2">
      <c r="A677" s="158"/>
      <c r="B677" s="158"/>
      <c r="C677" s="158"/>
      <c r="D677" s="158"/>
      <c r="E677" s="158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16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</row>
    <row r="678" spans="1:43" ht="15" x14ac:dyDescent="0.2">
      <c r="A678" s="158"/>
      <c r="B678" s="158"/>
      <c r="C678" s="158"/>
      <c r="D678" s="158"/>
      <c r="E678" s="158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16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</row>
    <row r="679" spans="1:43" ht="15" x14ac:dyDescent="0.2">
      <c r="A679" s="158"/>
      <c r="B679" s="158"/>
      <c r="C679" s="158"/>
      <c r="D679" s="158"/>
      <c r="E679" s="158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16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</row>
    <row r="680" spans="1:43" ht="15" x14ac:dyDescent="0.2">
      <c r="A680" s="158"/>
      <c r="B680" s="158"/>
      <c r="C680" s="158"/>
      <c r="D680" s="158"/>
      <c r="E680" s="158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16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</row>
    <row r="681" spans="1:43" ht="15" x14ac:dyDescent="0.2">
      <c r="A681" s="158"/>
      <c r="B681" s="158"/>
      <c r="C681" s="158"/>
      <c r="D681" s="158"/>
      <c r="E681" s="158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16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</row>
    <row r="682" spans="1:43" ht="15" x14ac:dyDescent="0.2">
      <c r="A682" s="158"/>
      <c r="B682" s="158"/>
      <c r="C682" s="158"/>
      <c r="D682" s="158"/>
      <c r="E682" s="158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16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</row>
    <row r="683" spans="1:43" ht="15" x14ac:dyDescent="0.2">
      <c r="A683" s="158"/>
      <c r="B683" s="158"/>
      <c r="C683" s="158"/>
      <c r="D683" s="158"/>
      <c r="E683" s="158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16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</row>
    <row r="684" spans="1:43" ht="15" x14ac:dyDescent="0.2">
      <c r="A684" s="158"/>
      <c r="B684" s="158"/>
      <c r="C684" s="158"/>
      <c r="D684" s="158"/>
      <c r="E684" s="158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16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</row>
    <row r="685" spans="1:43" ht="15" x14ac:dyDescent="0.2">
      <c r="A685" s="158"/>
      <c r="B685" s="158"/>
      <c r="C685" s="158"/>
      <c r="D685" s="158"/>
      <c r="E685" s="158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16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</row>
    <row r="686" spans="1:43" ht="15" x14ac:dyDescent="0.2">
      <c r="A686" s="158"/>
      <c r="B686" s="158"/>
      <c r="C686" s="158"/>
      <c r="D686" s="158"/>
      <c r="E686" s="158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16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</row>
    <row r="687" spans="1:43" ht="15" x14ac:dyDescent="0.2">
      <c r="A687" s="158"/>
      <c r="B687" s="158"/>
      <c r="C687" s="158"/>
      <c r="D687" s="158"/>
      <c r="E687" s="158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16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</row>
    <row r="688" spans="1:43" ht="15" x14ac:dyDescent="0.2">
      <c r="A688" s="158"/>
      <c r="B688" s="158"/>
      <c r="C688" s="158"/>
      <c r="D688" s="158"/>
      <c r="E688" s="158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16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</row>
    <row r="689" spans="1:43" ht="15" x14ac:dyDescent="0.2">
      <c r="A689" s="158"/>
      <c r="B689" s="158"/>
      <c r="C689" s="158"/>
      <c r="D689" s="158"/>
      <c r="E689" s="158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16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</row>
    <row r="690" spans="1:43" ht="15" x14ac:dyDescent="0.2">
      <c r="A690" s="158"/>
      <c r="B690" s="158"/>
      <c r="C690" s="158"/>
      <c r="D690" s="158"/>
      <c r="E690" s="158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16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</row>
    <row r="691" spans="1:43" ht="15" x14ac:dyDescent="0.2">
      <c r="A691" s="158"/>
      <c r="B691" s="158"/>
      <c r="C691" s="158"/>
      <c r="D691" s="158"/>
      <c r="E691" s="158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16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</row>
    <row r="692" spans="1:43" ht="15" x14ac:dyDescent="0.2">
      <c r="A692" s="158"/>
      <c r="B692" s="158"/>
      <c r="C692" s="158"/>
      <c r="D692" s="158"/>
      <c r="E692" s="158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16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</row>
    <row r="693" spans="1:43" ht="15" x14ac:dyDescent="0.2">
      <c r="A693" s="158"/>
      <c r="B693" s="158"/>
      <c r="C693" s="158"/>
      <c r="D693" s="158"/>
      <c r="E693" s="158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16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</row>
    <row r="694" spans="1:43" ht="15" x14ac:dyDescent="0.2">
      <c r="A694" s="158"/>
      <c r="B694" s="158"/>
      <c r="C694" s="158"/>
      <c r="D694" s="158"/>
      <c r="E694" s="158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16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</row>
    <row r="695" spans="1:43" ht="15" x14ac:dyDescent="0.2">
      <c r="A695" s="158"/>
      <c r="B695" s="158"/>
      <c r="C695" s="158"/>
      <c r="D695" s="158"/>
      <c r="E695" s="158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16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</row>
    <row r="696" spans="1:43" ht="15" x14ac:dyDescent="0.2">
      <c r="A696" s="158"/>
      <c r="B696" s="158"/>
      <c r="C696" s="158"/>
      <c r="D696" s="158"/>
      <c r="E696" s="158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16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</row>
    <row r="697" spans="1:43" ht="15" x14ac:dyDescent="0.2">
      <c r="A697" s="158"/>
      <c r="B697" s="158"/>
      <c r="C697" s="158"/>
      <c r="D697" s="158"/>
      <c r="E697" s="158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16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</row>
    <row r="698" spans="1:43" ht="15" x14ac:dyDescent="0.2">
      <c r="A698" s="158"/>
      <c r="B698" s="158"/>
      <c r="C698" s="158"/>
      <c r="D698" s="158"/>
      <c r="E698" s="158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16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</row>
    <row r="699" spans="1:43" ht="15" x14ac:dyDescent="0.2">
      <c r="A699" s="158"/>
      <c r="B699" s="158"/>
      <c r="C699" s="158"/>
      <c r="D699" s="158"/>
      <c r="E699" s="158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16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</row>
    <row r="700" spans="1:43" ht="15" x14ac:dyDescent="0.2">
      <c r="A700" s="158"/>
      <c r="B700" s="158"/>
      <c r="C700" s="158"/>
      <c r="D700" s="158"/>
      <c r="E700" s="158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16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</row>
    <row r="701" spans="1:43" ht="15" x14ac:dyDescent="0.2">
      <c r="A701" s="158"/>
      <c r="B701" s="158"/>
      <c r="C701" s="158"/>
      <c r="D701" s="158"/>
      <c r="E701" s="158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16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</row>
    <row r="702" spans="1:43" ht="15" x14ac:dyDescent="0.2">
      <c r="A702" s="158"/>
      <c r="B702" s="158"/>
      <c r="C702" s="158"/>
      <c r="D702" s="158"/>
      <c r="E702" s="158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16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</row>
    <row r="703" spans="1:43" ht="15" x14ac:dyDescent="0.2">
      <c r="A703" s="158"/>
      <c r="B703" s="158"/>
      <c r="C703" s="158"/>
      <c r="D703" s="158"/>
      <c r="E703" s="158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16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</row>
    <row r="704" spans="1:43" ht="15" x14ac:dyDescent="0.2">
      <c r="A704" s="158"/>
      <c r="B704" s="158"/>
      <c r="C704" s="158"/>
      <c r="D704" s="158"/>
      <c r="E704" s="158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16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</row>
    <row r="705" spans="1:43" ht="15" x14ac:dyDescent="0.2">
      <c r="A705" s="158"/>
      <c r="B705" s="158"/>
      <c r="C705" s="158"/>
      <c r="D705" s="158"/>
      <c r="E705" s="158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16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</row>
    <row r="706" spans="1:43" ht="15" x14ac:dyDescent="0.2">
      <c r="A706" s="158"/>
      <c r="B706" s="158"/>
      <c r="C706" s="158"/>
      <c r="D706" s="158"/>
      <c r="E706" s="158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16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</row>
    <row r="707" spans="1:43" ht="15" x14ac:dyDescent="0.2">
      <c r="A707" s="158"/>
      <c r="B707" s="158"/>
      <c r="C707" s="158"/>
      <c r="D707" s="158"/>
      <c r="E707" s="158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16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</row>
    <row r="708" spans="1:43" ht="15" x14ac:dyDescent="0.2">
      <c r="A708" s="158"/>
      <c r="B708" s="158"/>
      <c r="C708" s="158"/>
      <c r="D708" s="158"/>
      <c r="E708" s="158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16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</row>
    <row r="709" spans="1:43" ht="15" x14ac:dyDescent="0.2">
      <c r="A709" s="158"/>
      <c r="B709" s="158"/>
      <c r="C709" s="158"/>
      <c r="D709" s="158"/>
      <c r="E709" s="158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16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</row>
    <row r="710" spans="1:43" ht="15" x14ac:dyDescent="0.2">
      <c r="A710" s="158"/>
      <c r="B710" s="158"/>
      <c r="C710" s="158"/>
      <c r="D710" s="158"/>
      <c r="E710" s="158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16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</row>
    <row r="711" spans="1:43" ht="15" x14ac:dyDescent="0.2">
      <c r="A711" s="158"/>
      <c r="B711" s="158"/>
      <c r="C711" s="158"/>
      <c r="D711" s="158"/>
      <c r="E711" s="158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16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</row>
    <row r="712" spans="1:43" ht="15" x14ac:dyDescent="0.2">
      <c r="A712" s="158"/>
      <c r="B712" s="158"/>
      <c r="C712" s="158"/>
      <c r="D712" s="158"/>
      <c r="E712" s="158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16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</row>
    <row r="713" spans="1:43" ht="15" x14ac:dyDescent="0.2">
      <c r="A713" s="158"/>
      <c r="B713" s="158"/>
      <c r="C713" s="158"/>
      <c r="D713" s="158"/>
      <c r="E713" s="158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16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</row>
    <row r="714" spans="1:43" ht="15" x14ac:dyDescent="0.2">
      <c r="A714" s="158"/>
      <c r="B714" s="158"/>
      <c r="C714" s="158"/>
      <c r="D714" s="158"/>
      <c r="E714" s="158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16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</row>
    <row r="715" spans="1:43" ht="15" x14ac:dyDescent="0.2">
      <c r="A715" s="158"/>
      <c r="B715" s="158"/>
      <c r="C715" s="158"/>
      <c r="D715" s="158"/>
      <c r="E715" s="158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16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</row>
    <row r="716" spans="1:43" ht="15" x14ac:dyDescent="0.2">
      <c r="A716" s="158"/>
      <c r="B716" s="158"/>
      <c r="C716" s="158"/>
      <c r="D716" s="158"/>
      <c r="E716" s="158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16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</row>
    <row r="717" spans="1:43" ht="15" x14ac:dyDescent="0.2">
      <c r="A717" s="158"/>
      <c r="B717" s="158"/>
      <c r="C717" s="158"/>
      <c r="D717" s="158"/>
      <c r="E717" s="158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16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</row>
    <row r="718" spans="1:43" ht="15" x14ac:dyDescent="0.2">
      <c r="A718" s="158"/>
      <c r="B718" s="158"/>
      <c r="C718" s="158"/>
      <c r="D718" s="158"/>
      <c r="E718" s="158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16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</row>
    <row r="719" spans="1:43" ht="15" x14ac:dyDescent="0.2">
      <c r="A719" s="158"/>
      <c r="B719" s="158"/>
      <c r="C719" s="158"/>
      <c r="D719" s="158"/>
      <c r="E719" s="158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16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</row>
    <row r="720" spans="1:43" ht="15" x14ac:dyDescent="0.2">
      <c r="A720" s="158"/>
      <c r="B720" s="158"/>
      <c r="C720" s="158"/>
      <c r="D720" s="158"/>
      <c r="E720" s="158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16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</row>
    <row r="721" spans="1:43" ht="15" x14ac:dyDescent="0.2">
      <c r="A721" s="158"/>
      <c r="B721" s="158"/>
      <c r="C721" s="158"/>
      <c r="D721" s="158"/>
      <c r="E721" s="158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16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</row>
    <row r="722" spans="1:43" ht="15" x14ac:dyDescent="0.2">
      <c r="A722" s="158"/>
      <c r="B722" s="158"/>
      <c r="C722" s="158"/>
      <c r="D722" s="158"/>
      <c r="E722" s="158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16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</row>
    <row r="723" spans="1:43" ht="15" x14ac:dyDescent="0.2">
      <c r="A723" s="158"/>
      <c r="B723" s="158"/>
      <c r="C723" s="158"/>
      <c r="D723" s="158"/>
      <c r="E723" s="158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16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</row>
    <row r="724" spans="1:43" ht="15" x14ac:dyDescent="0.2">
      <c r="A724" s="158"/>
      <c r="B724" s="158"/>
      <c r="C724" s="158"/>
      <c r="D724" s="158"/>
      <c r="E724" s="158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16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</row>
    <row r="725" spans="1:43" ht="15" x14ac:dyDescent="0.2">
      <c r="A725" s="158"/>
      <c r="B725" s="158"/>
      <c r="C725" s="158"/>
      <c r="D725" s="158"/>
      <c r="E725" s="158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16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</row>
    <row r="726" spans="1:43" ht="15" x14ac:dyDescent="0.2">
      <c r="A726" s="158"/>
      <c r="B726" s="158"/>
      <c r="C726" s="158"/>
      <c r="D726" s="158"/>
      <c r="E726" s="158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16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</row>
    <row r="727" spans="1:43" ht="15" x14ac:dyDescent="0.2">
      <c r="A727" s="158"/>
      <c r="B727" s="158"/>
      <c r="C727" s="158"/>
      <c r="D727" s="158"/>
      <c r="E727" s="158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16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</row>
    <row r="728" spans="1:43" ht="15" x14ac:dyDescent="0.2">
      <c r="A728" s="158"/>
      <c r="B728" s="158"/>
      <c r="C728" s="158"/>
      <c r="D728" s="158"/>
      <c r="E728" s="158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16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</row>
    <row r="729" spans="1:43" ht="15" x14ac:dyDescent="0.2">
      <c r="A729" s="158"/>
      <c r="B729" s="158"/>
      <c r="C729" s="158"/>
      <c r="D729" s="158"/>
      <c r="E729" s="158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16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</row>
    <row r="730" spans="1:43" ht="15" x14ac:dyDescent="0.2">
      <c r="A730" s="158"/>
      <c r="B730" s="158"/>
      <c r="C730" s="158"/>
      <c r="D730" s="158"/>
      <c r="E730" s="158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16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</row>
    <row r="731" spans="1:43" ht="15" x14ac:dyDescent="0.2">
      <c r="A731" s="158"/>
      <c r="B731" s="158"/>
      <c r="C731" s="158"/>
      <c r="D731" s="158"/>
      <c r="E731" s="158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16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</row>
    <row r="732" spans="1:43" ht="15" x14ac:dyDescent="0.2">
      <c r="A732" s="158"/>
      <c r="B732" s="158"/>
      <c r="C732" s="158"/>
      <c r="D732" s="158"/>
      <c r="E732" s="158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16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</row>
    <row r="733" spans="1:43" ht="15" x14ac:dyDescent="0.2">
      <c r="A733" s="158"/>
      <c r="B733" s="158"/>
      <c r="C733" s="158"/>
      <c r="D733" s="158"/>
      <c r="E733" s="158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16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</row>
    <row r="734" spans="1:43" ht="15" x14ac:dyDescent="0.2">
      <c r="A734" s="158"/>
      <c r="B734" s="158"/>
      <c r="C734" s="158"/>
      <c r="D734" s="158"/>
      <c r="E734" s="158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16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</row>
    <row r="735" spans="1:43" ht="15" x14ac:dyDescent="0.2">
      <c r="A735" s="158"/>
      <c r="B735" s="158"/>
      <c r="C735" s="158"/>
      <c r="D735" s="158"/>
      <c r="E735" s="158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16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</row>
    <row r="736" spans="1:43" ht="15" x14ac:dyDescent="0.2">
      <c r="A736" s="158"/>
      <c r="B736" s="158"/>
      <c r="C736" s="158"/>
      <c r="D736" s="158"/>
      <c r="E736" s="158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16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</row>
    <row r="737" spans="1:43" ht="15" x14ac:dyDescent="0.2">
      <c r="A737" s="158"/>
      <c r="B737" s="158"/>
      <c r="C737" s="158"/>
      <c r="D737" s="158"/>
      <c r="E737" s="158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16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</row>
    <row r="738" spans="1:43" ht="15" x14ac:dyDescent="0.2">
      <c r="A738" s="158"/>
      <c r="B738" s="158"/>
      <c r="C738" s="158"/>
      <c r="D738" s="158"/>
      <c r="E738" s="158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16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</row>
    <row r="739" spans="1:43" ht="15" x14ac:dyDescent="0.2">
      <c r="A739" s="158"/>
      <c r="B739" s="158"/>
      <c r="C739" s="158"/>
      <c r="D739" s="158"/>
      <c r="E739" s="158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16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</row>
    <row r="740" spans="1:43" ht="15" x14ac:dyDescent="0.2">
      <c r="A740" s="158"/>
      <c r="B740" s="158"/>
      <c r="C740" s="158"/>
      <c r="D740" s="158"/>
      <c r="E740" s="158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16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</row>
    <row r="741" spans="1:43" ht="15" x14ac:dyDescent="0.2">
      <c r="A741" s="158"/>
      <c r="B741" s="158"/>
      <c r="C741" s="158"/>
      <c r="D741" s="158"/>
      <c r="E741" s="158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16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</row>
    <row r="742" spans="1:43" ht="15" x14ac:dyDescent="0.2">
      <c r="A742" s="158"/>
      <c r="B742" s="158"/>
      <c r="C742" s="158"/>
      <c r="D742" s="158"/>
      <c r="E742" s="158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16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</row>
    <row r="743" spans="1:43" ht="15" x14ac:dyDescent="0.2">
      <c r="A743" s="158"/>
      <c r="B743" s="158"/>
      <c r="C743" s="158"/>
      <c r="D743" s="158"/>
      <c r="E743" s="158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16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</row>
    <row r="744" spans="1:43" ht="15" x14ac:dyDescent="0.2">
      <c r="A744" s="158"/>
      <c r="B744" s="158"/>
      <c r="C744" s="158"/>
      <c r="D744" s="158"/>
      <c r="E744" s="158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16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</row>
    <row r="745" spans="1:43" ht="15" x14ac:dyDescent="0.2">
      <c r="A745" s="158"/>
      <c r="B745" s="158"/>
      <c r="C745" s="158"/>
      <c r="D745" s="158"/>
      <c r="E745" s="158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16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</row>
    <row r="746" spans="1:43" ht="15" x14ac:dyDescent="0.2">
      <c r="A746" s="158"/>
      <c r="B746" s="158"/>
      <c r="C746" s="158"/>
      <c r="D746" s="158"/>
      <c r="E746" s="158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16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</row>
    <row r="747" spans="1:43" ht="15" x14ac:dyDescent="0.2">
      <c r="A747" s="158"/>
      <c r="B747" s="158"/>
      <c r="C747" s="158"/>
      <c r="D747" s="158"/>
      <c r="E747" s="158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16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</row>
    <row r="748" spans="1:43" ht="15" x14ac:dyDescent="0.2">
      <c r="A748" s="158"/>
      <c r="B748" s="158"/>
      <c r="C748" s="158"/>
      <c r="D748" s="158"/>
      <c r="E748" s="158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16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</row>
    <row r="749" spans="1:43" ht="15" x14ac:dyDescent="0.2">
      <c r="A749" s="158"/>
      <c r="B749" s="158"/>
      <c r="C749" s="158"/>
      <c r="D749" s="158"/>
      <c r="E749" s="158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16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</row>
    <row r="750" spans="1:43" ht="15" x14ac:dyDescent="0.2">
      <c r="A750" s="158"/>
      <c r="B750" s="158"/>
      <c r="C750" s="158"/>
      <c r="D750" s="158"/>
      <c r="E750" s="158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16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</row>
    <row r="751" spans="1:43" ht="15" x14ac:dyDescent="0.2">
      <c r="A751" s="158"/>
      <c r="B751" s="158"/>
      <c r="C751" s="158"/>
      <c r="D751" s="158"/>
      <c r="E751" s="158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16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</row>
    <row r="752" spans="1:43" ht="15" x14ac:dyDescent="0.2">
      <c r="A752" s="158"/>
      <c r="B752" s="158"/>
      <c r="C752" s="158"/>
      <c r="D752" s="158"/>
      <c r="E752" s="158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16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</row>
    <row r="753" spans="1:43" ht="15" x14ac:dyDescent="0.2">
      <c r="A753" s="158"/>
      <c r="B753" s="158"/>
      <c r="C753" s="158"/>
      <c r="D753" s="158"/>
      <c r="E753" s="158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16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</row>
    <row r="754" spans="1:43" ht="15" x14ac:dyDescent="0.2">
      <c r="A754" s="158"/>
      <c r="B754" s="158"/>
      <c r="C754" s="158"/>
      <c r="D754" s="158"/>
      <c r="E754" s="158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16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</row>
    <row r="755" spans="1:43" ht="15" x14ac:dyDescent="0.2">
      <c r="A755" s="158"/>
      <c r="B755" s="158"/>
      <c r="C755" s="158"/>
      <c r="D755" s="158"/>
      <c r="E755" s="158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16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</row>
    <row r="756" spans="1:43" ht="15" x14ac:dyDescent="0.2">
      <c r="A756" s="158"/>
      <c r="B756" s="158"/>
      <c r="C756" s="158"/>
      <c r="D756" s="158"/>
      <c r="E756" s="158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16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</row>
    <row r="757" spans="1:43" ht="15" x14ac:dyDescent="0.2">
      <c r="A757" s="158"/>
      <c r="B757" s="158"/>
      <c r="C757" s="158"/>
      <c r="D757" s="158"/>
      <c r="E757" s="158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16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</row>
    <row r="758" spans="1:43" ht="15" x14ac:dyDescent="0.2">
      <c r="A758" s="158"/>
      <c r="B758" s="158"/>
      <c r="C758" s="158"/>
      <c r="D758" s="158"/>
      <c r="E758" s="158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16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</row>
    <row r="759" spans="1:43" ht="15" x14ac:dyDescent="0.2">
      <c r="A759" s="158"/>
      <c r="B759" s="158"/>
      <c r="C759" s="158"/>
      <c r="D759" s="158"/>
      <c r="E759" s="158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16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</row>
    <row r="760" spans="1:43" ht="15" x14ac:dyDescent="0.2">
      <c r="A760" s="158"/>
      <c r="B760" s="158"/>
      <c r="C760" s="158"/>
      <c r="D760" s="158"/>
      <c r="E760" s="158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16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</row>
    <row r="761" spans="1:43" ht="15" x14ac:dyDescent="0.2">
      <c r="A761" s="158"/>
      <c r="B761" s="158"/>
      <c r="C761" s="158"/>
      <c r="D761" s="158"/>
      <c r="E761" s="158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16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</row>
    <row r="762" spans="1:43" ht="15" x14ac:dyDescent="0.2">
      <c r="A762" s="158"/>
      <c r="B762" s="158"/>
      <c r="C762" s="158"/>
      <c r="D762" s="158"/>
      <c r="E762" s="158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16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</row>
    <row r="763" spans="1:43" ht="15" x14ac:dyDescent="0.2">
      <c r="A763" s="158"/>
      <c r="B763" s="158"/>
      <c r="C763" s="158"/>
      <c r="D763" s="158"/>
      <c r="E763" s="158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16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</row>
    <row r="764" spans="1:43" ht="15" x14ac:dyDescent="0.2">
      <c r="A764" s="158"/>
      <c r="B764" s="158"/>
      <c r="C764" s="158"/>
      <c r="D764" s="158"/>
      <c r="E764" s="158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16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</row>
    <row r="765" spans="1:43" ht="15" x14ac:dyDescent="0.2">
      <c r="A765" s="158"/>
      <c r="B765" s="158"/>
      <c r="C765" s="158"/>
      <c r="D765" s="158"/>
      <c r="E765" s="158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16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</row>
    <row r="766" spans="1:43" ht="15" x14ac:dyDescent="0.2">
      <c r="A766" s="158"/>
      <c r="B766" s="158"/>
      <c r="C766" s="158"/>
      <c r="D766" s="158"/>
      <c r="E766" s="158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16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</row>
    <row r="767" spans="1:43" ht="15" x14ac:dyDescent="0.2">
      <c r="A767" s="158"/>
      <c r="B767" s="158"/>
      <c r="C767" s="158"/>
      <c r="D767" s="158"/>
      <c r="E767" s="158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16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</row>
    <row r="768" spans="1:43" ht="15" x14ac:dyDescent="0.2">
      <c r="A768" s="158"/>
      <c r="B768" s="158"/>
      <c r="C768" s="158"/>
      <c r="D768" s="158"/>
      <c r="E768" s="158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16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</row>
    <row r="769" spans="1:43" ht="15" x14ac:dyDescent="0.2">
      <c r="A769" s="158"/>
      <c r="B769" s="158"/>
      <c r="C769" s="158"/>
      <c r="D769" s="158"/>
      <c r="E769" s="158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16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</row>
    <row r="770" spans="1:43" ht="15" x14ac:dyDescent="0.2">
      <c r="A770" s="158"/>
      <c r="B770" s="158"/>
      <c r="C770" s="158"/>
      <c r="D770" s="158"/>
      <c r="E770" s="158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16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</row>
    <row r="771" spans="1:43" ht="15" x14ac:dyDescent="0.2">
      <c r="A771" s="158"/>
      <c r="B771" s="158"/>
      <c r="C771" s="158"/>
      <c r="D771" s="158"/>
      <c r="E771" s="158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16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</row>
    <row r="772" spans="1:43" ht="15" x14ac:dyDescent="0.2">
      <c r="A772" s="158"/>
      <c r="B772" s="158"/>
      <c r="C772" s="158"/>
      <c r="D772" s="158"/>
      <c r="E772" s="158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16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</row>
    <row r="773" spans="1:43" ht="15" x14ac:dyDescent="0.2">
      <c r="A773" s="158"/>
      <c r="B773" s="158"/>
      <c r="C773" s="158"/>
      <c r="D773" s="158"/>
      <c r="E773" s="158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16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</row>
    <row r="774" spans="1:43" ht="15" x14ac:dyDescent="0.2">
      <c r="A774" s="158"/>
      <c r="B774" s="158"/>
      <c r="C774" s="158"/>
      <c r="D774" s="158"/>
      <c r="E774" s="158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16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</row>
    <row r="775" spans="1:43" ht="15" x14ac:dyDescent="0.2">
      <c r="A775" s="158"/>
      <c r="B775" s="158"/>
      <c r="C775" s="158"/>
      <c r="D775" s="158"/>
      <c r="E775" s="158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16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</row>
    <row r="776" spans="1:43" ht="15" x14ac:dyDescent="0.2">
      <c r="A776" s="158"/>
      <c r="B776" s="158"/>
      <c r="C776" s="158"/>
      <c r="D776" s="158"/>
      <c r="E776" s="158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16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</row>
    <row r="777" spans="1:43" ht="15" x14ac:dyDescent="0.2">
      <c r="A777" s="158"/>
      <c r="B777" s="158"/>
      <c r="C777" s="158"/>
      <c r="D777" s="158"/>
      <c r="E777" s="158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16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</row>
    <row r="778" spans="1:43" ht="15" x14ac:dyDescent="0.2">
      <c r="A778" s="158"/>
      <c r="B778" s="158"/>
      <c r="C778" s="158"/>
      <c r="D778" s="158"/>
      <c r="E778" s="158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16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</row>
    <row r="779" spans="1:43" ht="15" x14ac:dyDescent="0.2">
      <c r="A779" s="158"/>
      <c r="B779" s="158"/>
      <c r="C779" s="158"/>
      <c r="D779" s="158"/>
      <c r="E779" s="158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16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</row>
    <row r="780" spans="1:43" ht="15" x14ac:dyDescent="0.2">
      <c r="A780" s="158"/>
      <c r="B780" s="158"/>
      <c r="C780" s="158"/>
      <c r="D780" s="158"/>
      <c r="E780" s="158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16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</row>
    <row r="781" spans="1:43" ht="15" x14ac:dyDescent="0.2">
      <c r="A781" s="158"/>
      <c r="B781" s="158"/>
      <c r="C781" s="158"/>
      <c r="D781" s="158"/>
      <c r="E781" s="158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16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</row>
    <row r="782" spans="1:43" ht="15" x14ac:dyDescent="0.2">
      <c r="A782" s="158"/>
      <c r="B782" s="158"/>
      <c r="C782" s="158"/>
      <c r="D782" s="158"/>
      <c r="E782" s="158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16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</row>
    <row r="783" spans="1:43" ht="15" x14ac:dyDescent="0.2">
      <c r="A783" s="158"/>
      <c r="B783" s="158"/>
      <c r="C783" s="158"/>
      <c r="D783" s="158"/>
      <c r="E783" s="158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16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</row>
    <row r="784" spans="1:43" ht="15" x14ac:dyDescent="0.2">
      <c r="A784" s="158"/>
      <c r="B784" s="158"/>
      <c r="C784" s="158"/>
      <c r="D784" s="158"/>
      <c r="E784" s="158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16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</row>
    <row r="785" spans="1:43" ht="15" x14ac:dyDescent="0.2">
      <c r="A785" s="158"/>
      <c r="B785" s="158"/>
      <c r="C785" s="158"/>
      <c r="D785" s="158"/>
      <c r="E785" s="158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16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</row>
    <row r="786" spans="1:43" ht="15" x14ac:dyDescent="0.2">
      <c r="A786" s="158"/>
      <c r="B786" s="158"/>
      <c r="C786" s="158"/>
      <c r="D786" s="158"/>
      <c r="E786" s="158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16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</row>
    <row r="787" spans="1:43" ht="15" x14ac:dyDescent="0.2">
      <c r="A787" s="158"/>
      <c r="B787" s="158"/>
      <c r="C787" s="158"/>
      <c r="D787" s="158"/>
      <c r="E787" s="158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16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</row>
    <row r="788" spans="1:43" ht="15" x14ac:dyDescent="0.2">
      <c r="A788" s="158"/>
      <c r="B788" s="158"/>
      <c r="C788" s="158"/>
      <c r="D788" s="158"/>
      <c r="E788" s="158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16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</row>
    <row r="789" spans="1:43" ht="15" x14ac:dyDescent="0.2">
      <c r="A789" s="158"/>
      <c r="B789" s="158"/>
      <c r="C789" s="158"/>
      <c r="D789" s="158"/>
      <c r="E789" s="158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16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</row>
    <row r="790" spans="1:43" ht="15" x14ac:dyDescent="0.2">
      <c r="A790" s="158"/>
      <c r="B790" s="158"/>
      <c r="C790" s="158"/>
      <c r="D790" s="158"/>
      <c r="E790" s="158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16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</row>
    <row r="791" spans="1:43" ht="15" x14ac:dyDescent="0.2">
      <c r="A791" s="158"/>
      <c r="B791" s="158"/>
      <c r="C791" s="158"/>
      <c r="D791" s="158"/>
      <c r="E791" s="158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16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</row>
    <row r="792" spans="1:43" ht="15" x14ac:dyDescent="0.2">
      <c r="A792" s="158"/>
      <c r="B792" s="158"/>
      <c r="C792" s="158"/>
      <c r="D792" s="158"/>
      <c r="E792" s="158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16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</row>
    <row r="793" spans="1:43" ht="15" x14ac:dyDescent="0.2">
      <c r="A793" s="158"/>
      <c r="B793" s="158"/>
      <c r="C793" s="158"/>
      <c r="D793" s="158"/>
      <c r="E793" s="158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16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</row>
    <row r="794" spans="1:43" ht="15" x14ac:dyDescent="0.2">
      <c r="A794" s="158"/>
      <c r="B794" s="158"/>
      <c r="C794" s="158"/>
      <c r="D794" s="158"/>
      <c r="E794" s="158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16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</row>
    <row r="795" spans="1:43" ht="15" x14ac:dyDescent="0.2">
      <c r="A795" s="158"/>
      <c r="B795" s="158"/>
      <c r="C795" s="158"/>
      <c r="D795" s="158"/>
      <c r="E795" s="158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16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</row>
    <row r="796" spans="1:43" ht="15" x14ac:dyDescent="0.2">
      <c r="A796" s="158"/>
      <c r="B796" s="158"/>
      <c r="C796" s="158"/>
      <c r="D796" s="158"/>
      <c r="E796" s="158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16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</row>
    <row r="797" spans="1:43" ht="15" x14ac:dyDescent="0.2">
      <c r="A797" s="158"/>
      <c r="B797" s="158"/>
      <c r="C797" s="158"/>
      <c r="D797" s="158"/>
      <c r="E797" s="158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16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</row>
    <row r="798" spans="1:43" ht="15" x14ac:dyDescent="0.2">
      <c r="A798" s="158"/>
      <c r="B798" s="158"/>
      <c r="C798" s="158"/>
      <c r="D798" s="158"/>
      <c r="E798" s="158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16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</row>
    <row r="799" spans="1:43" ht="15" x14ac:dyDescent="0.2">
      <c r="A799" s="158"/>
      <c r="B799" s="158"/>
      <c r="C799" s="158"/>
      <c r="D799" s="158"/>
      <c r="E799" s="158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16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</row>
    <row r="800" spans="1:43" ht="15" x14ac:dyDescent="0.2">
      <c r="A800" s="158"/>
      <c r="B800" s="158"/>
      <c r="C800" s="158"/>
      <c r="D800" s="158"/>
      <c r="E800" s="158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16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</row>
    <row r="801" spans="1:43" ht="15" x14ac:dyDescent="0.2">
      <c r="A801" s="158"/>
      <c r="B801" s="158"/>
      <c r="C801" s="158"/>
      <c r="D801" s="158"/>
      <c r="E801" s="158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16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</row>
    <row r="802" spans="1:43" ht="15" x14ac:dyDescent="0.2">
      <c r="A802" s="158"/>
      <c r="B802" s="158"/>
      <c r="C802" s="158"/>
      <c r="D802" s="158"/>
      <c r="E802" s="158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16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</row>
    <row r="803" spans="1:43" ht="15" x14ac:dyDescent="0.2">
      <c r="A803" s="158"/>
      <c r="B803" s="158"/>
      <c r="C803" s="158"/>
      <c r="D803" s="158"/>
      <c r="E803" s="158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16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</row>
    <row r="804" spans="1:43" ht="15" x14ac:dyDescent="0.2">
      <c r="A804" s="158"/>
      <c r="B804" s="158"/>
      <c r="C804" s="158"/>
      <c r="D804" s="158"/>
      <c r="E804" s="158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16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</row>
    <row r="805" spans="1:43" ht="15" x14ac:dyDescent="0.2">
      <c r="A805" s="158"/>
      <c r="B805" s="158"/>
      <c r="C805" s="158"/>
      <c r="D805" s="158"/>
      <c r="E805" s="158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16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</row>
    <row r="806" spans="1:43" ht="15" x14ac:dyDescent="0.2">
      <c r="A806" s="158"/>
      <c r="B806" s="158"/>
      <c r="C806" s="158"/>
      <c r="D806" s="158"/>
      <c r="E806" s="158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16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</row>
    <row r="807" spans="1:43" ht="15" x14ac:dyDescent="0.2">
      <c r="A807" s="158"/>
      <c r="B807" s="158"/>
      <c r="C807" s="158"/>
      <c r="D807" s="158"/>
      <c r="E807" s="158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16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</row>
    <row r="808" spans="1:43" ht="15" x14ac:dyDescent="0.2">
      <c r="A808" s="158"/>
      <c r="B808" s="158"/>
      <c r="C808" s="158"/>
      <c r="D808" s="158"/>
      <c r="E808" s="158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16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</row>
    <row r="809" spans="1:43" ht="15" x14ac:dyDescent="0.2">
      <c r="A809" s="158"/>
      <c r="B809" s="158"/>
      <c r="C809" s="158"/>
      <c r="D809" s="158"/>
      <c r="E809" s="158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16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</row>
    <row r="810" spans="1:43" ht="15" x14ac:dyDescent="0.2">
      <c r="A810" s="158"/>
      <c r="B810" s="158"/>
      <c r="C810" s="158"/>
      <c r="D810" s="158"/>
      <c r="E810" s="158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16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</row>
    <row r="811" spans="1:43" ht="15" x14ac:dyDescent="0.2">
      <c r="A811" s="158"/>
      <c r="B811" s="158"/>
      <c r="C811" s="158"/>
      <c r="D811" s="158"/>
      <c r="E811" s="158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16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</row>
    <row r="812" spans="1:43" ht="15" x14ac:dyDescent="0.2">
      <c r="A812" s="158"/>
      <c r="B812" s="158"/>
      <c r="C812" s="158"/>
      <c r="D812" s="158"/>
      <c r="E812" s="158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16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</row>
    <row r="813" spans="1:43" ht="15" x14ac:dyDescent="0.2">
      <c r="A813" s="158"/>
      <c r="B813" s="158"/>
      <c r="C813" s="158"/>
      <c r="D813" s="158"/>
      <c r="E813" s="158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16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</row>
    <row r="814" spans="1:43" ht="15" x14ac:dyDescent="0.2">
      <c r="A814" s="158"/>
      <c r="B814" s="158"/>
      <c r="C814" s="158"/>
      <c r="D814" s="158"/>
      <c r="E814" s="158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16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</row>
    <row r="815" spans="1:43" ht="15" x14ac:dyDescent="0.2">
      <c r="A815" s="158"/>
      <c r="B815" s="158"/>
      <c r="C815" s="158"/>
      <c r="D815" s="158"/>
      <c r="E815" s="158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16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</row>
    <row r="816" spans="1:43" ht="15" x14ac:dyDescent="0.2">
      <c r="A816" s="158"/>
      <c r="B816" s="158"/>
      <c r="C816" s="158"/>
      <c r="D816" s="158"/>
      <c r="E816" s="158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16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</row>
    <row r="817" spans="1:43" ht="15" x14ac:dyDescent="0.2">
      <c r="A817" s="158"/>
      <c r="B817" s="158"/>
      <c r="C817" s="158"/>
      <c r="D817" s="158"/>
      <c r="E817" s="158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16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</row>
    <row r="818" spans="1:43" ht="15" x14ac:dyDescent="0.2">
      <c r="A818" s="158"/>
      <c r="B818" s="158"/>
      <c r="C818" s="158"/>
      <c r="D818" s="158"/>
      <c r="E818" s="158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16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</row>
    <row r="819" spans="1:43" ht="15" x14ac:dyDescent="0.2">
      <c r="A819" s="158"/>
      <c r="B819" s="158"/>
      <c r="C819" s="158"/>
      <c r="D819" s="158"/>
      <c r="E819" s="158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16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</row>
    <row r="820" spans="1:43" ht="15" x14ac:dyDescent="0.2">
      <c r="A820" s="158"/>
      <c r="B820" s="158"/>
      <c r="C820" s="158"/>
      <c r="D820" s="158"/>
      <c r="E820" s="158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16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</row>
    <row r="821" spans="1:43" ht="15" x14ac:dyDescent="0.2">
      <c r="A821" s="158"/>
      <c r="B821" s="158"/>
      <c r="C821" s="158"/>
      <c r="D821" s="158"/>
      <c r="E821" s="158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16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</row>
    <row r="822" spans="1:43" ht="15" x14ac:dyDescent="0.2">
      <c r="A822" s="158"/>
      <c r="B822" s="158"/>
      <c r="C822" s="158"/>
      <c r="D822" s="158"/>
      <c r="E822" s="158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16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</row>
    <row r="823" spans="1:43" ht="15" x14ac:dyDescent="0.2">
      <c r="A823" s="158"/>
      <c r="B823" s="158"/>
      <c r="C823" s="158"/>
      <c r="D823" s="158"/>
      <c r="E823" s="158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16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</row>
    <row r="824" spans="1:43" ht="15" x14ac:dyDescent="0.2">
      <c r="A824" s="158"/>
      <c r="B824" s="158"/>
      <c r="C824" s="158"/>
      <c r="D824" s="158"/>
      <c r="E824" s="158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16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</row>
    <row r="825" spans="1:43" ht="15" x14ac:dyDescent="0.2">
      <c r="A825" s="158"/>
      <c r="B825" s="158"/>
      <c r="C825" s="158"/>
      <c r="D825" s="158"/>
      <c r="E825" s="158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16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</row>
    <row r="826" spans="1:43" ht="15" x14ac:dyDescent="0.2">
      <c r="A826" s="158"/>
      <c r="B826" s="158"/>
      <c r="C826" s="158"/>
      <c r="D826" s="158"/>
      <c r="E826" s="158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16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</row>
    <row r="827" spans="1:43" ht="15" x14ac:dyDescent="0.2">
      <c r="A827" s="158"/>
      <c r="B827" s="158"/>
      <c r="C827" s="158"/>
      <c r="D827" s="158"/>
      <c r="E827" s="158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16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</row>
    <row r="828" spans="1:43" ht="15" x14ac:dyDescent="0.2">
      <c r="A828" s="158"/>
      <c r="B828" s="158"/>
      <c r="C828" s="158"/>
      <c r="D828" s="158"/>
      <c r="E828" s="158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16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</row>
    <row r="829" spans="1:43" ht="15" x14ac:dyDescent="0.2">
      <c r="A829" s="158"/>
      <c r="B829" s="158"/>
      <c r="C829" s="158"/>
      <c r="D829" s="158"/>
      <c r="E829" s="158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16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</row>
    <row r="830" spans="1:43" ht="15" x14ac:dyDescent="0.2">
      <c r="A830" s="158"/>
      <c r="B830" s="158"/>
      <c r="C830" s="158"/>
      <c r="D830" s="158"/>
      <c r="E830" s="158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16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</row>
    <row r="831" spans="1:43" ht="15" x14ac:dyDescent="0.2">
      <c r="A831" s="158"/>
      <c r="B831" s="158"/>
      <c r="C831" s="158"/>
      <c r="D831" s="158"/>
      <c r="E831" s="158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16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</row>
    <row r="832" spans="1:43" ht="15" x14ac:dyDescent="0.2">
      <c r="A832" s="158"/>
      <c r="B832" s="158"/>
      <c r="C832" s="158"/>
      <c r="D832" s="158"/>
      <c r="E832" s="158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16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</row>
    <row r="833" spans="1:43" ht="15" x14ac:dyDescent="0.2">
      <c r="A833" s="158"/>
      <c r="B833" s="158"/>
      <c r="C833" s="158"/>
      <c r="D833" s="158"/>
      <c r="E833" s="158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16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</row>
    <row r="834" spans="1:43" ht="15" x14ac:dyDescent="0.2">
      <c r="A834" s="158"/>
      <c r="B834" s="158"/>
      <c r="C834" s="158"/>
      <c r="D834" s="158"/>
      <c r="E834" s="158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16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</row>
    <row r="835" spans="1:43" ht="15" x14ac:dyDescent="0.2">
      <c r="A835" s="158"/>
      <c r="B835" s="158"/>
      <c r="C835" s="158"/>
      <c r="D835" s="158"/>
      <c r="E835" s="158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16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</row>
    <row r="836" spans="1:43" ht="15" x14ac:dyDescent="0.2">
      <c r="A836" s="158"/>
      <c r="B836" s="158"/>
      <c r="C836" s="158"/>
      <c r="D836" s="158"/>
      <c r="E836" s="158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16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</row>
    <row r="837" spans="1:43" ht="15" x14ac:dyDescent="0.2">
      <c r="A837" s="158"/>
      <c r="B837" s="158"/>
      <c r="C837" s="158"/>
      <c r="D837" s="158"/>
      <c r="E837" s="158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16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</row>
    <row r="838" spans="1:43" ht="15" x14ac:dyDescent="0.2">
      <c r="A838" s="158"/>
      <c r="B838" s="158"/>
      <c r="C838" s="158"/>
      <c r="D838" s="158"/>
      <c r="E838" s="158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16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</row>
    <row r="839" spans="1:43" ht="15" x14ac:dyDescent="0.2">
      <c r="A839" s="158"/>
      <c r="B839" s="158"/>
      <c r="C839" s="158"/>
      <c r="D839" s="158"/>
      <c r="E839" s="158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16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</row>
    <row r="840" spans="1:43" ht="15" x14ac:dyDescent="0.2">
      <c r="A840" s="158"/>
      <c r="B840" s="158"/>
      <c r="C840" s="158"/>
      <c r="D840" s="158"/>
      <c r="E840" s="158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16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</row>
    <row r="841" spans="1:43" ht="15" x14ac:dyDescent="0.2">
      <c r="A841" s="158"/>
      <c r="B841" s="158"/>
      <c r="C841" s="158"/>
      <c r="D841" s="158"/>
      <c r="E841" s="158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16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</row>
    <row r="842" spans="1:43" ht="15" x14ac:dyDescent="0.2">
      <c r="A842" s="158"/>
      <c r="B842" s="158"/>
      <c r="C842" s="158"/>
      <c r="D842" s="158"/>
      <c r="E842" s="158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16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</row>
    <row r="843" spans="1:43" ht="15" x14ac:dyDescent="0.2">
      <c r="A843" s="158"/>
      <c r="B843" s="158"/>
      <c r="C843" s="158"/>
      <c r="D843" s="158"/>
      <c r="E843" s="158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16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</row>
    <row r="844" spans="1:43" ht="15" x14ac:dyDescent="0.2">
      <c r="A844" s="158"/>
      <c r="B844" s="158"/>
      <c r="C844" s="158"/>
      <c r="D844" s="158"/>
      <c r="E844" s="158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16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</row>
    <row r="845" spans="1:43" ht="15" x14ac:dyDescent="0.2">
      <c r="A845" s="158"/>
      <c r="B845" s="158"/>
      <c r="C845" s="158"/>
      <c r="D845" s="158"/>
      <c r="E845" s="158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16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</row>
    <row r="846" spans="1:43" ht="15" x14ac:dyDescent="0.2">
      <c r="A846" s="158"/>
      <c r="B846" s="158"/>
      <c r="C846" s="158"/>
      <c r="D846" s="158"/>
      <c r="E846" s="158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16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</row>
    <row r="847" spans="1:43" ht="15" x14ac:dyDescent="0.2">
      <c r="A847" s="158"/>
      <c r="B847" s="158"/>
      <c r="C847" s="158"/>
      <c r="D847" s="158"/>
      <c r="E847" s="158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16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</row>
    <row r="848" spans="1:43" ht="15" x14ac:dyDescent="0.2">
      <c r="A848" s="158"/>
      <c r="B848" s="158"/>
      <c r="C848" s="158"/>
      <c r="D848" s="158"/>
      <c r="E848" s="158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16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</row>
    <row r="849" spans="1:43" ht="15" x14ac:dyDescent="0.2">
      <c r="A849" s="158"/>
      <c r="B849" s="158"/>
      <c r="C849" s="158"/>
      <c r="D849" s="158"/>
      <c r="E849" s="158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16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</row>
    <row r="850" spans="1:43" ht="15" x14ac:dyDescent="0.2">
      <c r="A850" s="158"/>
      <c r="B850" s="158"/>
      <c r="C850" s="158"/>
      <c r="D850" s="158"/>
      <c r="E850" s="158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16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</row>
    <row r="851" spans="1:43" ht="15" x14ac:dyDescent="0.2">
      <c r="A851" s="158"/>
      <c r="B851" s="158"/>
      <c r="C851" s="158"/>
      <c r="D851" s="158"/>
      <c r="E851" s="158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16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</row>
    <row r="852" spans="1:43" ht="15" x14ac:dyDescent="0.2">
      <c r="A852" s="158"/>
      <c r="B852" s="158"/>
      <c r="C852" s="158"/>
      <c r="D852" s="158"/>
      <c r="E852" s="158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16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</row>
    <row r="853" spans="1:43" ht="15" x14ac:dyDescent="0.2">
      <c r="A853" s="158"/>
      <c r="B853" s="158"/>
      <c r="C853" s="158"/>
      <c r="D853" s="158"/>
      <c r="E853" s="158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16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</row>
    <row r="854" spans="1:43" ht="15" x14ac:dyDescent="0.2">
      <c r="A854" s="158"/>
      <c r="B854" s="158"/>
      <c r="C854" s="158"/>
      <c r="D854" s="158"/>
      <c r="E854" s="158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16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</row>
    <row r="855" spans="1:43" ht="15" x14ac:dyDescent="0.2">
      <c r="A855" s="158"/>
      <c r="B855" s="158"/>
      <c r="C855" s="158"/>
      <c r="D855" s="158"/>
      <c r="E855" s="158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16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</row>
    <row r="856" spans="1:43" ht="15" x14ac:dyDescent="0.2">
      <c r="A856" s="158"/>
      <c r="B856" s="158"/>
      <c r="C856" s="158"/>
      <c r="D856" s="158"/>
      <c r="E856" s="158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16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</row>
    <row r="857" spans="1:43" ht="15" x14ac:dyDescent="0.2">
      <c r="A857" s="158"/>
      <c r="B857" s="158"/>
      <c r="C857" s="158"/>
      <c r="D857" s="158"/>
      <c r="E857" s="158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16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</row>
    <row r="858" spans="1:43" ht="15" x14ac:dyDescent="0.2">
      <c r="A858" s="158"/>
      <c r="B858" s="158"/>
      <c r="C858" s="158"/>
      <c r="D858" s="158"/>
      <c r="E858" s="158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16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</row>
    <row r="859" spans="1:43" ht="15" x14ac:dyDescent="0.2">
      <c r="A859" s="158"/>
      <c r="B859" s="158"/>
      <c r="C859" s="158"/>
      <c r="D859" s="158"/>
      <c r="E859" s="158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16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</row>
    <row r="860" spans="1:43" ht="15" x14ac:dyDescent="0.2">
      <c r="A860" s="158"/>
      <c r="B860" s="158"/>
      <c r="C860" s="158"/>
      <c r="D860" s="158"/>
      <c r="E860" s="158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16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</row>
    <row r="861" spans="1:43" ht="15" x14ac:dyDescent="0.2">
      <c r="A861" s="158"/>
      <c r="B861" s="158"/>
      <c r="C861" s="158"/>
      <c r="D861" s="158"/>
      <c r="E861" s="158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16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</row>
    <row r="862" spans="1:43" ht="15" x14ac:dyDescent="0.2">
      <c r="A862" s="158"/>
      <c r="B862" s="158"/>
      <c r="C862" s="158"/>
      <c r="D862" s="158"/>
      <c r="E862" s="158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16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</row>
    <row r="863" spans="1:43" ht="15" x14ac:dyDescent="0.2">
      <c r="A863" s="158"/>
      <c r="B863" s="158"/>
      <c r="C863" s="158"/>
      <c r="D863" s="158"/>
      <c r="E863" s="158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16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</row>
    <row r="864" spans="1:43" ht="15" x14ac:dyDescent="0.2">
      <c r="A864" s="158"/>
      <c r="B864" s="158"/>
      <c r="C864" s="158"/>
      <c r="D864" s="158"/>
      <c r="E864" s="158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16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</row>
    <row r="865" spans="1:43" ht="15" x14ac:dyDescent="0.2">
      <c r="A865" s="158"/>
      <c r="B865" s="158"/>
      <c r="C865" s="158"/>
      <c r="D865" s="158"/>
      <c r="E865" s="158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16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</row>
    <row r="866" spans="1:43" ht="15" x14ac:dyDescent="0.2">
      <c r="A866" s="158"/>
      <c r="B866" s="158"/>
      <c r="C866" s="158"/>
      <c r="D866" s="158"/>
      <c r="E866" s="158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16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</row>
    <row r="867" spans="1:43" ht="15" x14ac:dyDescent="0.2">
      <c r="A867" s="158"/>
      <c r="B867" s="158"/>
      <c r="C867" s="158"/>
      <c r="D867" s="158"/>
      <c r="E867" s="158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16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</row>
    <row r="868" spans="1:43" ht="15" x14ac:dyDescent="0.2">
      <c r="A868" s="158"/>
      <c r="B868" s="158"/>
      <c r="C868" s="158"/>
      <c r="D868" s="158"/>
      <c r="E868" s="158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16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</row>
    <row r="869" spans="1:43" ht="15" x14ac:dyDescent="0.2">
      <c r="A869" s="158"/>
      <c r="B869" s="158"/>
      <c r="C869" s="158"/>
      <c r="D869" s="158"/>
      <c r="E869" s="158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16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</row>
    <row r="870" spans="1:43" ht="15" x14ac:dyDescent="0.2">
      <c r="A870" s="158"/>
      <c r="B870" s="158"/>
      <c r="C870" s="158"/>
      <c r="D870" s="158"/>
      <c r="E870" s="158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16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</row>
    <row r="871" spans="1:43" ht="15" x14ac:dyDescent="0.2">
      <c r="A871" s="158"/>
      <c r="B871" s="158"/>
      <c r="C871" s="158"/>
      <c r="D871" s="158"/>
      <c r="E871" s="158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16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</row>
    <row r="872" spans="1:43" ht="15" x14ac:dyDescent="0.2">
      <c r="A872" s="158"/>
      <c r="B872" s="158"/>
      <c r="C872" s="158"/>
      <c r="D872" s="158"/>
      <c r="E872" s="158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16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</row>
    <row r="873" spans="1:43" ht="15" x14ac:dyDescent="0.2">
      <c r="A873" s="158"/>
      <c r="B873" s="158"/>
      <c r="C873" s="158"/>
      <c r="D873" s="158"/>
      <c r="E873" s="158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16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</row>
    <row r="874" spans="1:43" ht="15" x14ac:dyDescent="0.2">
      <c r="A874" s="158"/>
      <c r="B874" s="158"/>
      <c r="C874" s="158"/>
      <c r="D874" s="158"/>
      <c r="E874" s="158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16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</row>
    <row r="875" spans="1:43" ht="15" x14ac:dyDescent="0.2">
      <c r="A875" s="158"/>
      <c r="B875" s="158"/>
      <c r="C875" s="158"/>
      <c r="D875" s="158"/>
      <c r="E875" s="158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16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</row>
    <row r="876" spans="1:43" ht="15" x14ac:dyDescent="0.2">
      <c r="A876" s="158"/>
      <c r="B876" s="158"/>
      <c r="C876" s="158"/>
      <c r="D876" s="158"/>
      <c r="E876" s="158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16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</row>
    <row r="877" spans="1:43" ht="15" x14ac:dyDescent="0.2">
      <c r="A877" s="158"/>
      <c r="B877" s="158"/>
      <c r="C877" s="158"/>
      <c r="D877" s="158"/>
      <c r="E877" s="158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16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</row>
    <row r="878" spans="1:43" ht="15" x14ac:dyDescent="0.2">
      <c r="A878" s="158"/>
      <c r="B878" s="158"/>
      <c r="C878" s="158"/>
      <c r="D878" s="158"/>
      <c r="E878" s="158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16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</row>
    <row r="879" spans="1:43" ht="15" x14ac:dyDescent="0.2">
      <c r="A879" s="158"/>
      <c r="B879" s="158"/>
      <c r="C879" s="158"/>
      <c r="D879" s="158"/>
      <c r="E879" s="158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16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</row>
    <row r="880" spans="1:43" ht="15" x14ac:dyDescent="0.2">
      <c r="A880" s="158"/>
      <c r="B880" s="158"/>
      <c r="C880" s="158"/>
      <c r="D880" s="158"/>
      <c r="E880" s="158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16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</row>
    <row r="881" spans="1:43" ht="15" x14ac:dyDescent="0.2">
      <c r="A881" s="158"/>
      <c r="B881" s="158"/>
      <c r="C881" s="158"/>
      <c r="D881" s="158"/>
      <c r="E881" s="158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16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</row>
    <row r="882" spans="1:43" ht="15" x14ac:dyDescent="0.2">
      <c r="A882" s="158"/>
      <c r="B882" s="158"/>
      <c r="C882" s="158"/>
      <c r="D882" s="158"/>
      <c r="E882" s="158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16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</row>
    <row r="883" spans="1:43" ht="15" x14ac:dyDescent="0.2">
      <c r="A883" s="158"/>
      <c r="B883" s="158"/>
      <c r="C883" s="158"/>
      <c r="D883" s="158"/>
      <c r="E883" s="158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16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</row>
    <row r="884" spans="1:43" ht="15" x14ac:dyDescent="0.2">
      <c r="A884" s="158"/>
      <c r="B884" s="158"/>
      <c r="C884" s="158"/>
      <c r="D884" s="158"/>
      <c r="E884" s="158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16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</row>
    <row r="885" spans="1:43" ht="15" x14ac:dyDescent="0.2">
      <c r="A885" s="158"/>
      <c r="B885" s="158"/>
      <c r="C885" s="158"/>
      <c r="D885" s="158"/>
      <c r="E885" s="158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16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</row>
    <row r="886" spans="1:43" ht="15" x14ac:dyDescent="0.2">
      <c r="A886" s="158"/>
      <c r="B886" s="158"/>
      <c r="C886" s="158"/>
      <c r="D886" s="158"/>
      <c r="E886" s="158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16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</row>
    <row r="887" spans="1:43" ht="15" x14ac:dyDescent="0.2">
      <c r="A887" s="158"/>
      <c r="B887" s="158"/>
      <c r="C887" s="158"/>
      <c r="D887" s="158"/>
      <c r="E887" s="158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16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</row>
    <row r="888" spans="1:43" ht="15" x14ac:dyDescent="0.2">
      <c r="A888" s="158"/>
      <c r="B888" s="158"/>
      <c r="C888" s="158"/>
      <c r="D888" s="158"/>
      <c r="E888" s="158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16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</row>
    <row r="889" spans="1:43" ht="15" x14ac:dyDescent="0.2">
      <c r="A889" s="158"/>
      <c r="B889" s="158"/>
      <c r="C889" s="158"/>
      <c r="D889" s="158"/>
      <c r="E889" s="158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16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</row>
    <row r="890" spans="1:43" ht="15" x14ac:dyDescent="0.2">
      <c r="A890" s="158"/>
      <c r="B890" s="158"/>
      <c r="C890" s="158"/>
      <c r="D890" s="158"/>
      <c r="E890" s="158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16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</row>
    <row r="891" spans="1:43" ht="15" x14ac:dyDescent="0.2">
      <c r="A891" s="158"/>
      <c r="B891" s="158"/>
      <c r="C891" s="158"/>
      <c r="D891" s="158"/>
      <c r="E891" s="158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16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</row>
    <row r="892" spans="1:43" ht="15" x14ac:dyDescent="0.2">
      <c r="A892" s="158"/>
      <c r="B892" s="158"/>
      <c r="C892" s="158"/>
      <c r="D892" s="158"/>
      <c r="E892" s="158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16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</row>
    <row r="893" spans="1:43" ht="15" x14ac:dyDescent="0.2">
      <c r="A893" s="158"/>
      <c r="B893" s="158"/>
      <c r="C893" s="158"/>
      <c r="D893" s="158"/>
      <c r="E893" s="158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16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</row>
    <row r="894" spans="1:43" ht="15" x14ac:dyDescent="0.2">
      <c r="A894" s="158"/>
      <c r="B894" s="158"/>
      <c r="C894" s="158"/>
      <c r="D894" s="158"/>
      <c r="E894" s="158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16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</row>
    <row r="895" spans="1:43" ht="15" x14ac:dyDescent="0.2">
      <c r="A895" s="158"/>
      <c r="B895" s="158"/>
      <c r="C895" s="158"/>
      <c r="D895" s="158"/>
      <c r="E895" s="158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16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</row>
    <row r="896" spans="1:43" ht="15" x14ac:dyDescent="0.2">
      <c r="A896" s="158"/>
      <c r="B896" s="158"/>
      <c r="C896" s="158"/>
      <c r="D896" s="158"/>
      <c r="E896" s="158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16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</row>
    <row r="897" spans="1:43" ht="15" x14ac:dyDescent="0.2">
      <c r="A897" s="158"/>
      <c r="B897" s="158"/>
      <c r="C897" s="158"/>
      <c r="D897" s="158"/>
      <c r="E897" s="158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16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</row>
    <row r="898" spans="1:43" ht="15" x14ac:dyDescent="0.2">
      <c r="A898" s="158"/>
      <c r="B898" s="158"/>
      <c r="C898" s="158"/>
      <c r="D898" s="158"/>
      <c r="E898" s="158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16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</row>
    <row r="899" spans="1:43" ht="15" x14ac:dyDescent="0.2">
      <c r="A899" s="158"/>
      <c r="B899" s="158"/>
      <c r="C899" s="158"/>
      <c r="D899" s="158"/>
      <c r="E899" s="158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16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</row>
    <row r="900" spans="1:43" ht="15" x14ac:dyDescent="0.2">
      <c r="A900" s="158"/>
      <c r="B900" s="158"/>
      <c r="C900" s="158"/>
      <c r="D900" s="158"/>
      <c r="E900" s="158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16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</row>
    <row r="901" spans="1:43" ht="15" x14ac:dyDescent="0.2">
      <c r="A901" s="158"/>
      <c r="B901" s="158"/>
      <c r="C901" s="158"/>
      <c r="D901" s="158"/>
      <c r="E901" s="158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16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</row>
    <row r="902" spans="1:43" ht="15" x14ac:dyDescent="0.2">
      <c r="A902" s="158"/>
      <c r="B902" s="158"/>
      <c r="C902" s="158"/>
      <c r="D902" s="158"/>
      <c r="E902" s="158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16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</row>
    <row r="903" spans="1:43" ht="15" x14ac:dyDescent="0.2">
      <c r="A903" s="158"/>
      <c r="B903" s="158"/>
      <c r="C903" s="158"/>
      <c r="D903" s="158"/>
      <c r="E903" s="158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16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</row>
    <row r="904" spans="1:43" ht="15" x14ac:dyDescent="0.2">
      <c r="A904" s="158"/>
      <c r="B904" s="158"/>
      <c r="C904" s="158"/>
      <c r="D904" s="158"/>
      <c r="E904" s="158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16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</row>
    <row r="905" spans="1:43" ht="15" x14ac:dyDescent="0.2">
      <c r="A905" s="158"/>
      <c r="B905" s="158"/>
      <c r="C905" s="158"/>
      <c r="D905" s="158"/>
      <c r="E905" s="158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16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</row>
    <row r="906" spans="1:43" ht="15" x14ac:dyDescent="0.2">
      <c r="A906" s="158"/>
      <c r="B906" s="158"/>
      <c r="C906" s="158"/>
      <c r="D906" s="158"/>
      <c r="E906" s="158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16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</row>
    <row r="907" spans="1:43" ht="15" x14ac:dyDescent="0.2">
      <c r="A907" s="158"/>
      <c r="B907" s="158"/>
      <c r="C907" s="158"/>
      <c r="D907" s="158"/>
      <c r="E907" s="158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16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</row>
    <row r="908" spans="1:43" ht="15" x14ac:dyDescent="0.2">
      <c r="A908" s="158"/>
      <c r="B908" s="158"/>
      <c r="C908" s="158"/>
      <c r="D908" s="158"/>
      <c r="E908" s="158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16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</row>
    <row r="909" spans="1:43" ht="15" x14ac:dyDescent="0.2">
      <c r="A909" s="158"/>
      <c r="B909" s="158"/>
      <c r="C909" s="158"/>
      <c r="D909" s="158"/>
      <c r="E909" s="158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16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</row>
    <row r="910" spans="1:43" ht="15" x14ac:dyDescent="0.2">
      <c r="A910" s="158"/>
      <c r="B910" s="158"/>
      <c r="C910" s="158"/>
      <c r="D910" s="158"/>
      <c r="E910" s="158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16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</row>
    <row r="911" spans="1:43" ht="15" x14ac:dyDescent="0.2">
      <c r="A911" s="158"/>
      <c r="B911" s="158"/>
      <c r="C911" s="158"/>
      <c r="D911" s="158"/>
      <c r="E911" s="158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16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</row>
    <row r="912" spans="1:43" ht="15" x14ac:dyDescent="0.2">
      <c r="A912" s="158"/>
      <c r="B912" s="158"/>
      <c r="C912" s="158"/>
      <c r="D912" s="158"/>
      <c r="E912" s="158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16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</row>
    <row r="913" spans="1:43" ht="15" x14ac:dyDescent="0.2">
      <c r="A913" s="158"/>
      <c r="B913" s="158"/>
      <c r="C913" s="158"/>
      <c r="D913" s="158"/>
      <c r="E913" s="158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16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</row>
    <row r="914" spans="1:43" ht="15" x14ac:dyDescent="0.2">
      <c r="A914" s="158"/>
      <c r="B914" s="158"/>
      <c r="C914" s="158"/>
      <c r="D914" s="158"/>
      <c r="E914" s="158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16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</row>
    <row r="915" spans="1:43" ht="15" x14ac:dyDescent="0.2">
      <c r="A915" s="158"/>
      <c r="B915" s="158"/>
      <c r="C915" s="158"/>
      <c r="D915" s="158"/>
      <c r="E915" s="158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16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</row>
    <row r="916" spans="1:43" ht="15" x14ac:dyDescent="0.2">
      <c r="A916" s="158"/>
      <c r="B916" s="158"/>
      <c r="C916" s="158"/>
      <c r="D916" s="158"/>
      <c r="E916" s="158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16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</row>
    <row r="917" spans="1:43" ht="15" x14ac:dyDescent="0.2">
      <c r="A917" s="158"/>
      <c r="B917" s="158"/>
      <c r="C917" s="158"/>
      <c r="D917" s="158"/>
      <c r="E917" s="158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16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</row>
    <row r="918" spans="1:43" ht="15" x14ac:dyDescent="0.2">
      <c r="A918" s="158"/>
      <c r="B918" s="158"/>
      <c r="C918" s="158"/>
      <c r="D918" s="158"/>
      <c r="E918" s="158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16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</row>
    <row r="919" spans="1:43" ht="15" x14ac:dyDescent="0.2">
      <c r="A919" s="158"/>
      <c r="B919" s="158"/>
      <c r="C919" s="158"/>
      <c r="D919" s="158"/>
      <c r="E919" s="158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16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</row>
    <row r="920" spans="1:43" ht="15" x14ac:dyDescent="0.2">
      <c r="A920" s="158"/>
      <c r="B920" s="158"/>
      <c r="C920" s="158"/>
      <c r="D920" s="158"/>
      <c r="E920" s="158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16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</row>
    <row r="921" spans="1:43" ht="15" x14ac:dyDescent="0.2">
      <c r="A921" s="158"/>
      <c r="B921" s="158"/>
      <c r="C921" s="158"/>
      <c r="D921" s="158"/>
      <c r="E921" s="158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16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</row>
    <row r="922" spans="1:43" ht="15" x14ac:dyDescent="0.2">
      <c r="A922" s="158"/>
      <c r="B922" s="158"/>
      <c r="C922" s="158"/>
      <c r="D922" s="158"/>
      <c r="E922" s="158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16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</row>
    <row r="923" spans="1:43" ht="15" x14ac:dyDescent="0.2">
      <c r="A923" s="158"/>
      <c r="B923" s="158"/>
      <c r="C923" s="158"/>
      <c r="D923" s="158"/>
      <c r="E923" s="158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16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</row>
    <row r="924" spans="1:43" ht="15" x14ac:dyDescent="0.2">
      <c r="A924" s="158"/>
      <c r="B924" s="158"/>
      <c r="C924" s="158"/>
      <c r="D924" s="158"/>
      <c r="E924" s="158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16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</row>
    <row r="925" spans="1:43" ht="15" x14ac:dyDescent="0.2">
      <c r="A925" s="158"/>
      <c r="B925" s="158"/>
      <c r="C925" s="158"/>
      <c r="D925" s="158"/>
      <c r="E925" s="158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16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</row>
    <row r="926" spans="1:43" ht="15" x14ac:dyDescent="0.2">
      <c r="A926" s="158"/>
      <c r="B926" s="158"/>
      <c r="C926" s="158"/>
      <c r="D926" s="158"/>
      <c r="E926" s="158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16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</row>
    <row r="927" spans="1:43" ht="15" x14ac:dyDescent="0.2">
      <c r="A927" s="158"/>
      <c r="B927" s="158"/>
      <c r="C927" s="158"/>
      <c r="D927" s="158"/>
      <c r="E927" s="158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16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</row>
    <row r="928" spans="1:43" ht="15" x14ac:dyDescent="0.2">
      <c r="A928" s="158"/>
      <c r="B928" s="158"/>
      <c r="C928" s="158"/>
      <c r="D928" s="158"/>
      <c r="E928" s="158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16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</row>
    <row r="929" spans="1:43" ht="15" x14ac:dyDescent="0.2">
      <c r="A929" s="158"/>
      <c r="B929" s="158"/>
      <c r="C929" s="158"/>
      <c r="D929" s="158"/>
      <c r="E929" s="158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16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</row>
    <row r="930" spans="1:43" ht="15" x14ac:dyDescent="0.2">
      <c r="A930" s="158"/>
      <c r="B930" s="158"/>
      <c r="C930" s="158"/>
      <c r="D930" s="158"/>
      <c r="E930" s="158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16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</row>
    <row r="931" spans="1:43" ht="15" x14ac:dyDescent="0.2">
      <c r="A931" s="158"/>
      <c r="B931" s="158"/>
      <c r="C931" s="158"/>
      <c r="D931" s="158"/>
      <c r="E931" s="158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16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</row>
    <row r="932" spans="1:43" ht="15" x14ac:dyDescent="0.2">
      <c r="A932" s="158"/>
      <c r="B932" s="158"/>
      <c r="C932" s="158"/>
      <c r="D932" s="158"/>
      <c r="E932" s="158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16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</row>
    <row r="933" spans="1:43" ht="15" x14ac:dyDescent="0.2">
      <c r="A933" s="158"/>
      <c r="B933" s="158"/>
      <c r="C933" s="158"/>
      <c r="D933" s="158"/>
      <c r="E933" s="158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16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</row>
    <row r="934" spans="1:43" ht="15" x14ac:dyDescent="0.2">
      <c r="A934" s="158"/>
      <c r="B934" s="158"/>
      <c r="C934" s="158"/>
      <c r="D934" s="158"/>
      <c r="E934" s="158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16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</row>
    <row r="935" spans="1:43" ht="15" x14ac:dyDescent="0.2">
      <c r="A935" s="158"/>
      <c r="B935" s="158"/>
      <c r="C935" s="158"/>
      <c r="D935" s="158"/>
      <c r="E935" s="158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16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</row>
    <row r="936" spans="1:43" ht="15" x14ac:dyDescent="0.2">
      <c r="A936" s="158"/>
      <c r="B936" s="158"/>
      <c r="C936" s="158"/>
      <c r="D936" s="158"/>
      <c r="E936" s="158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16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</row>
    <row r="937" spans="1:43" ht="15" x14ac:dyDescent="0.2">
      <c r="A937" s="158"/>
      <c r="B937" s="158"/>
      <c r="C937" s="158"/>
      <c r="D937" s="158"/>
      <c r="E937" s="158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16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</row>
    <row r="938" spans="1:43" ht="15" x14ac:dyDescent="0.2">
      <c r="A938" s="158"/>
      <c r="B938" s="158"/>
      <c r="C938" s="158"/>
      <c r="D938" s="158"/>
      <c r="E938" s="158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16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</row>
    <row r="939" spans="1:43" ht="15" x14ac:dyDescent="0.2">
      <c r="A939" s="158"/>
      <c r="B939" s="158"/>
      <c r="C939" s="158"/>
      <c r="D939" s="158"/>
      <c r="E939" s="158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16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</row>
    <row r="940" spans="1:43" ht="15" x14ac:dyDescent="0.2">
      <c r="A940" s="158"/>
      <c r="B940" s="158"/>
      <c r="C940" s="158"/>
      <c r="D940" s="158"/>
      <c r="E940" s="158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16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</row>
    <row r="941" spans="1:43" ht="15" x14ac:dyDescent="0.2">
      <c r="A941" s="158"/>
      <c r="B941" s="158"/>
      <c r="C941" s="158"/>
      <c r="D941" s="158"/>
      <c r="E941" s="158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16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</row>
    <row r="942" spans="1:43" ht="15" x14ac:dyDescent="0.2">
      <c r="A942" s="158"/>
      <c r="B942" s="158"/>
      <c r="C942" s="158"/>
      <c r="D942" s="158"/>
      <c r="E942" s="158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16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</row>
    <row r="943" spans="1:43" ht="15" x14ac:dyDescent="0.2">
      <c r="A943" s="158"/>
      <c r="B943" s="158"/>
      <c r="C943" s="158"/>
      <c r="D943" s="158"/>
      <c r="E943" s="158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16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</row>
    <row r="944" spans="1:43" ht="15" x14ac:dyDescent="0.2">
      <c r="A944" s="158"/>
      <c r="B944" s="158"/>
      <c r="C944" s="158"/>
      <c r="D944" s="158"/>
      <c r="E944" s="158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16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</row>
    <row r="945" spans="1:43" ht="15" x14ac:dyDescent="0.2">
      <c r="A945" s="158"/>
      <c r="B945" s="158"/>
      <c r="C945" s="158"/>
      <c r="D945" s="158"/>
      <c r="E945" s="158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16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</row>
    <row r="946" spans="1:43" ht="15" x14ac:dyDescent="0.2">
      <c r="A946" s="158"/>
      <c r="B946" s="158"/>
      <c r="C946" s="158"/>
      <c r="D946" s="158"/>
      <c r="E946" s="158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16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</row>
    <row r="947" spans="1:43" ht="15" x14ac:dyDescent="0.2">
      <c r="A947" s="158"/>
      <c r="B947" s="158"/>
      <c r="C947" s="158"/>
      <c r="D947" s="158"/>
      <c r="E947" s="158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16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</row>
    <row r="948" spans="1:43" ht="15" x14ac:dyDescent="0.2">
      <c r="A948" s="158"/>
      <c r="B948" s="158"/>
      <c r="C948" s="158"/>
      <c r="D948" s="158"/>
      <c r="E948" s="158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16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</row>
    <row r="949" spans="1:43" ht="15" x14ac:dyDescent="0.2">
      <c r="A949" s="158"/>
      <c r="B949" s="158"/>
      <c r="C949" s="158"/>
      <c r="D949" s="158"/>
      <c r="E949" s="158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16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</row>
    <row r="950" spans="1:43" ht="15" x14ac:dyDescent="0.2">
      <c r="A950" s="158"/>
      <c r="B950" s="158"/>
      <c r="C950" s="158"/>
      <c r="D950" s="158"/>
      <c r="E950" s="158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16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</row>
    <row r="951" spans="1:43" ht="15" x14ac:dyDescent="0.2">
      <c r="A951" s="158"/>
      <c r="B951" s="158"/>
      <c r="C951" s="158"/>
      <c r="D951" s="158"/>
      <c r="E951" s="158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16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</row>
    <row r="952" spans="1:43" ht="15" x14ac:dyDescent="0.2">
      <c r="A952" s="158"/>
      <c r="B952" s="158"/>
      <c r="C952" s="158"/>
      <c r="D952" s="158"/>
      <c r="E952" s="158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16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</row>
    <row r="953" spans="1:43" ht="15" x14ac:dyDescent="0.2">
      <c r="A953" s="158"/>
      <c r="B953" s="158"/>
      <c r="C953" s="158"/>
      <c r="D953" s="158"/>
      <c r="E953" s="158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16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</row>
    <row r="954" spans="1:43" ht="15" x14ac:dyDescent="0.2">
      <c r="A954" s="158"/>
      <c r="B954" s="158"/>
      <c r="C954" s="158"/>
      <c r="D954" s="158"/>
      <c r="E954" s="158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16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</row>
    <row r="955" spans="1:43" ht="15" x14ac:dyDescent="0.2">
      <c r="A955" s="158"/>
      <c r="B955" s="158"/>
      <c r="C955" s="158"/>
      <c r="D955" s="158"/>
      <c r="E955" s="158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16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</row>
    <row r="956" spans="1:43" ht="15" x14ac:dyDescent="0.2">
      <c r="A956" s="158"/>
      <c r="B956" s="158"/>
      <c r="C956" s="158"/>
      <c r="D956" s="158"/>
      <c r="E956" s="158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16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</row>
    <row r="957" spans="1:43" ht="15" x14ac:dyDescent="0.2">
      <c r="A957" s="158"/>
      <c r="B957" s="158"/>
      <c r="C957" s="158"/>
      <c r="D957" s="158"/>
      <c r="E957" s="158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16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</row>
    <row r="958" spans="1:43" ht="15" x14ac:dyDescent="0.2">
      <c r="A958" s="158"/>
      <c r="B958" s="158"/>
      <c r="C958" s="158"/>
      <c r="D958" s="158"/>
      <c r="E958" s="158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16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</row>
    <row r="959" spans="1:43" ht="15" x14ac:dyDescent="0.2">
      <c r="A959" s="158"/>
      <c r="B959" s="158"/>
      <c r="C959" s="158"/>
      <c r="D959" s="158"/>
      <c r="E959" s="158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16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</row>
    <row r="960" spans="1:43" ht="15" x14ac:dyDescent="0.2">
      <c r="A960" s="158"/>
      <c r="B960" s="158"/>
      <c r="C960" s="158"/>
      <c r="D960" s="158"/>
      <c r="E960" s="158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16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</row>
    <row r="961" spans="1:43" ht="15" x14ac:dyDescent="0.2">
      <c r="A961" s="158"/>
      <c r="B961" s="158"/>
      <c r="C961" s="158"/>
      <c r="D961" s="158"/>
      <c r="E961" s="158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16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</row>
    <row r="962" spans="1:43" ht="15" x14ac:dyDescent="0.2">
      <c r="A962" s="158"/>
      <c r="B962" s="158"/>
      <c r="C962" s="158"/>
      <c r="D962" s="158"/>
      <c r="E962" s="158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16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</row>
    <row r="963" spans="1:43" ht="15" x14ac:dyDescent="0.2">
      <c r="A963" s="158"/>
      <c r="B963" s="158"/>
      <c r="C963" s="158"/>
      <c r="D963" s="158"/>
      <c r="E963" s="158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16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</row>
    <row r="964" spans="1:43" ht="15" x14ac:dyDescent="0.2">
      <c r="A964" s="158"/>
      <c r="B964" s="158"/>
      <c r="C964" s="158"/>
      <c r="D964" s="158"/>
      <c r="E964" s="158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16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</row>
    <row r="965" spans="1:43" ht="15" x14ac:dyDescent="0.2">
      <c r="A965" s="158"/>
      <c r="B965" s="158"/>
      <c r="C965" s="158"/>
      <c r="D965" s="158"/>
      <c r="E965" s="158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16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</row>
    <row r="966" spans="1:43" ht="15" x14ac:dyDescent="0.2">
      <c r="A966" s="158"/>
      <c r="B966" s="158"/>
      <c r="C966" s="158"/>
      <c r="D966" s="158"/>
      <c r="E966" s="158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16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</row>
    <row r="967" spans="1:43" ht="15" x14ac:dyDescent="0.2">
      <c r="A967" s="158"/>
      <c r="B967" s="158"/>
      <c r="C967" s="158"/>
      <c r="D967" s="158"/>
      <c r="E967" s="158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16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</row>
    <row r="968" spans="1:43" ht="15" x14ac:dyDescent="0.2">
      <c r="A968" s="158"/>
      <c r="B968" s="158"/>
      <c r="C968" s="158"/>
      <c r="D968" s="158"/>
      <c r="E968" s="158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16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</row>
    <row r="969" spans="1:43" ht="15" x14ac:dyDescent="0.2">
      <c r="A969" s="158"/>
      <c r="B969" s="158"/>
      <c r="C969" s="158"/>
      <c r="D969" s="158"/>
      <c r="E969" s="158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16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</row>
    <row r="970" spans="1:43" ht="15" x14ac:dyDescent="0.2">
      <c r="A970" s="158"/>
      <c r="B970" s="158"/>
      <c r="C970" s="158"/>
      <c r="D970" s="158"/>
      <c r="E970" s="158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16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</row>
    <row r="971" spans="1:43" ht="15" x14ac:dyDescent="0.2">
      <c r="A971" s="158"/>
      <c r="B971" s="158"/>
      <c r="C971" s="158"/>
      <c r="D971" s="158"/>
      <c r="E971" s="158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16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</row>
    <row r="972" spans="1:43" ht="15" x14ac:dyDescent="0.2">
      <c r="A972" s="158"/>
      <c r="B972" s="158"/>
      <c r="C972" s="158"/>
      <c r="D972" s="158"/>
      <c r="E972" s="158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16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</row>
    <row r="973" spans="1:43" ht="15" x14ac:dyDescent="0.2">
      <c r="A973" s="158"/>
      <c r="B973" s="158"/>
      <c r="C973" s="158"/>
      <c r="D973" s="158"/>
      <c r="E973" s="158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16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</row>
    <row r="974" spans="1:43" ht="15" x14ac:dyDescent="0.2">
      <c r="A974" s="158"/>
      <c r="B974" s="158"/>
      <c r="C974" s="158"/>
      <c r="D974" s="158"/>
      <c r="E974" s="158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16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</row>
    <row r="975" spans="1:43" ht="15" x14ac:dyDescent="0.2">
      <c r="A975" s="158"/>
      <c r="B975" s="158"/>
      <c r="C975" s="158"/>
      <c r="D975" s="158"/>
      <c r="E975" s="158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16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</row>
    <row r="976" spans="1:43" ht="15" x14ac:dyDescent="0.2">
      <c r="A976" s="158"/>
      <c r="B976" s="158"/>
      <c r="C976" s="158"/>
      <c r="D976" s="158"/>
      <c r="E976" s="158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16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</row>
    <row r="977" spans="1:43" ht="15" x14ac:dyDescent="0.2">
      <c r="A977" s="158"/>
      <c r="B977" s="158"/>
      <c r="C977" s="158"/>
      <c r="D977" s="158"/>
      <c r="E977" s="158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16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</row>
    <row r="978" spans="1:43" ht="15" x14ac:dyDescent="0.2">
      <c r="A978" s="158"/>
      <c r="B978" s="158"/>
      <c r="C978" s="158"/>
      <c r="D978" s="158"/>
      <c r="E978" s="158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16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</row>
    <row r="979" spans="1:43" ht="15" x14ac:dyDescent="0.2">
      <c r="A979" s="158"/>
      <c r="B979" s="158"/>
      <c r="C979" s="158"/>
      <c r="D979" s="158"/>
      <c r="E979" s="158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16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</row>
    <row r="980" spans="1:43" ht="15" x14ac:dyDescent="0.2">
      <c r="A980" s="158"/>
      <c r="B980" s="158"/>
      <c r="C980" s="158"/>
      <c r="D980" s="158"/>
      <c r="E980" s="158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16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</row>
    <row r="981" spans="1:43" ht="15" x14ac:dyDescent="0.2">
      <c r="A981" s="158"/>
      <c r="B981" s="158"/>
      <c r="C981" s="158"/>
      <c r="D981" s="158"/>
      <c r="E981" s="158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16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</row>
    <row r="982" spans="1:43" ht="15" x14ac:dyDescent="0.2">
      <c r="A982" s="158"/>
      <c r="B982" s="158"/>
      <c r="C982" s="158"/>
      <c r="D982" s="158"/>
      <c r="E982" s="158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16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</row>
    <row r="983" spans="1:43" ht="15" x14ac:dyDescent="0.2">
      <c r="A983" s="158"/>
      <c r="B983" s="158"/>
      <c r="C983" s="158"/>
      <c r="D983" s="158"/>
      <c r="E983" s="158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16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</row>
    <row r="984" spans="1:43" ht="15" x14ac:dyDescent="0.2">
      <c r="A984" s="158"/>
      <c r="B984" s="158"/>
      <c r="C984" s="158"/>
      <c r="D984" s="158"/>
      <c r="E984" s="158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16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</row>
    <row r="985" spans="1:43" ht="15" x14ac:dyDescent="0.2">
      <c r="A985" s="158"/>
      <c r="B985" s="158"/>
      <c r="C985" s="158"/>
      <c r="D985" s="158"/>
      <c r="E985" s="158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16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</row>
    <row r="986" spans="1:43" ht="15" x14ac:dyDescent="0.2">
      <c r="A986" s="158"/>
      <c r="B986" s="158"/>
      <c r="C986" s="158"/>
      <c r="D986" s="158"/>
      <c r="E986" s="158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16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</row>
    <row r="987" spans="1:43" ht="15" x14ac:dyDescent="0.2">
      <c r="A987" s="158"/>
      <c r="B987" s="158"/>
      <c r="C987" s="158"/>
      <c r="D987" s="158"/>
      <c r="E987" s="158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16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</row>
    <row r="988" spans="1:43" ht="15" x14ac:dyDescent="0.2">
      <c r="A988" s="158"/>
      <c r="B988" s="158"/>
      <c r="C988" s="158"/>
      <c r="D988" s="158"/>
      <c r="E988" s="158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16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</row>
    <row r="989" spans="1:43" ht="15" x14ac:dyDescent="0.2">
      <c r="A989" s="158"/>
      <c r="B989" s="158"/>
      <c r="C989" s="158"/>
      <c r="D989" s="158"/>
      <c r="E989" s="158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16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</row>
    <row r="990" spans="1:43" ht="15" x14ac:dyDescent="0.2">
      <c r="A990" s="158"/>
      <c r="B990" s="158"/>
      <c r="C990" s="158"/>
      <c r="D990" s="158"/>
      <c r="E990" s="158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16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</row>
    <row r="991" spans="1:43" ht="15" x14ac:dyDescent="0.2">
      <c r="A991" s="158"/>
      <c r="B991" s="158"/>
      <c r="C991" s="158"/>
      <c r="D991" s="158"/>
      <c r="E991" s="158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16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</row>
    <row r="992" spans="1:43" ht="15" x14ac:dyDescent="0.2">
      <c r="A992" s="158"/>
      <c r="B992" s="158"/>
      <c r="C992" s="158"/>
      <c r="D992" s="158"/>
      <c r="E992" s="158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16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</row>
    <row r="993" spans="1:43" ht="15" x14ac:dyDescent="0.2">
      <c r="A993" s="158"/>
      <c r="B993" s="158"/>
      <c r="C993" s="158"/>
      <c r="D993" s="158"/>
      <c r="E993" s="158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16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</row>
    <row r="994" spans="1:43" ht="15" x14ac:dyDescent="0.2">
      <c r="A994" s="158"/>
      <c r="B994" s="158"/>
      <c r="C994" s="158"/>
      <c r="D994" s="158"/>
      <c r="E994" s="158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16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</row>
    <row r="995" spans="1:43" ht="15" x14ac:dyDescent="0.2">
      <c r="A995" s="158"/>
      <c r="B995" s="158"/>
      <c r="C995" s="158"/>
      <c r="D995" s="158"/>
      <c r="E995" s="158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16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</row>
    <row r="996" spans="1:43" ht="15" x14ac:dyDescent="0.2">
      <c r="A996" s="158"/>
      <c r="B996" s="158"/>
      <c r="C996" s="158"/>
      <c r="D996" s="158"/>
      <c r="E996" s="158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16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</row>
    <row r="997" spans="1:43" ht="15" x14ac:dyDescent="0.2">
      <c r="A997" s="158"/>
      <c r="B997" s="158"/>
      <c r="C997" s="158"/>
      <c r="D997" s="158"/>
      <c r="E997" s="158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16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</row>
    <row r="998" spans="1:43" ht="15" x14ac:dyDescent="0.2">
      <c r="A998" s="158"/>
      <c r="B998" s="158"/>
      <c r="C998" s="158"/>
      <c r="D998" s="158"/>
      <c r="E998" s="158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16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</row>
    <row r="999" spans="1:43" ht="15" x14ac:dyDescent="0.2">
      <c r="A999" s="158"/>
      <c r="B999" s="158"/>
      <c r="C999" s="158"/>
      <c r="D999" s="158"/>
      <c r="E999" s="158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16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</row>
    <row r="1000" spans="1:43" ht="15" x14ac:dyDescent="0.2">
      <c r="A1000" s="158"/>
      <c r="B1000" s="158"/>
      <c r="C1000" s="158"/>
      <c r="D1000" s="158"/>
      <c r="E1000" s="158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16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</row>
  </sheetData>
  <mergeCells count="113">
    <mergeCell ref="U170:AB170"/>
    <mergeCell ref="A172:D172"/>
    <mergeCell ref="A175:C175"/>
    <mergeCell ref="A194:D194"/>
    <mergeCell ref="A200:C200"/>
    <mergeCell ref="U154:AB154"/>
    <mergeCell ref="U155:AB155"/>
    <mergeCell ref="U156:AB156"/>
    <mergeCell ref="U157:AB157"/>
    <mergeCell ref="U162:AB162"/>
    <mergeCell ref="U165:AB165"/>
    <mergeCell ref="U148:AB148"/>
    <mergeCell ref="U149:AB149"/>
    <mergeCell ref="U150:AB150"/>
    <mergeCell ref="U151:AB151"/>
    <mergeCell ref="U152:AB152"/>
    <mergeCell ref="U153:AB153"/>
    <mergeCell ref="U142:AB142"/>
    <mergeCell ref="U143:AB143"/>
    <mergeCell ref="U144:AB144"/>
    <mergeCell ref="U145:AB145"/>
    <mergeCell ref="U146:AB146"/>
    <mergeCell ref="U147:AB147"/>
    <mergeCell ref="U135:AB135"/>
    <mergeCell ref="U136:AB136"/>
    <mergeCell ref="U137:AB137"/>
    <mergeCell ref="U138:AB138"/>
    <mergeCell ref="U139:AB139"/>
    <mergeCell ref="U140:AB140"/>
    <mergeCell ref="U129:AB129"/>
    <mergeCell ref="U130:AB130"/>
    <mergeCell ref="U131:AB131"/>
    <mergeCell ref="U132:AB132"/>
    <mergeCell ref="U133:AB133"/>
    <mergeCell ref="U134:AB134"/>
    <mergeCell ref="U121:AB121"/>
    <mergeCell ref="U123:AB123"/>
    <mergeCell ref="U124:AB124"/>
    <mergeCell ref="U125:AB125"/>
    <mergeCell ref="U127:AB127"/>
    <mergeCell ref="U128:AB128"/>
    <mergeCell ref="U106:AB106"/>
    <mergeCell ref="U112:AB112"/>
    <mergeCell ref="U115:AB115"/>
    <mergeCell ref="U117:AB117"/>
    <mergeCell ref="U118:AB118"/>
    <mergeCell ref="U120:AB120"/>
    <mergeCell ref="U100:AB100"/>
    <mergeCell ref="U101:AB101"/>
    <mergeCell ref="U102:AB102"/>
    <mergeCell ref="U103:AB103"/>
    <mergeCell ref="U104:AB104"/>
    <mergeCell ref="U105:AB105"/>
    <mergeCell ref="U94:AB94"/>
    <mergeCell ref="U95:AB95"/>
    <mergeCell ref="U96:AB96"/>
    <mergeCell ref="U97:AB97"/>
    <mergeCell ref="U98:AB98"/>
    <mergeCell ref="U99:AB99"/>
    <mergeCell ref="U83:AB83"/>
    <mergeCell ref="U84:AB84"/>
    <mergeCell ref="U87:AB87"/>
    <mergeCell ref="U89:AB89"/>
    <mergeCell ref="U90:AB90"/>
    <mergeCell ref="U92:AB92"/>
    <mergeCell ref="U76:AB76"/>
    <mergeCell ref="U77:AB77"/>
    <mergeCell ref="U78:AB78"/>
    <mergeCell ref="U79:AB79"/>
    <mergeCell ref="U80:AB80"/>
    <mergeCell ref="U82:AB82"/>
    <mergeCell ref="U67:AB67"/>
    <mergeCell ref="U70:AB70"/>
    <mergeCell ref="U71:AB71"/>
    <mergeCell ref="U72:AB72"/>
    <mergeCell ref="U73:AB73"/>
    <mergeCell ref="U75:AB75"/>
    <mergeCell ref="U61:AB61"/>
    <mergeCell ref="U62:AB62"/>
    <mergeCell ref="U63:AB63"/>
    <mergeCell ref="U64:AB64"/>
    <mergeCell ref="U65:AB65"/>
    <mergeCell ref="U66:AB66"/>
    <mergeCell ref="U53:AB53"/>
    <mergeCell ref="U54:AB54"/>
    <mergeCell ref="U55:AB55"/>
    <mergeCell ref="U58:AB58"/>
    <mergeCell ref="U59:AB59"/>
    <mergeCell ref="U60:AB60"/>
    <mergeCell ref="U47:AB47"/>
    <mergeCell ref="U48:AB48"/>
    <mergeCell ref="U49:AB49"/>
    <mergeCell ref="U50:AB50"/>
    <mergeCell ref="U51:AB51"/>
    <mergeCell ref="U52:AB52"/>
    <mergeCell ref="U44:AB44"/>
    <mergeCell ref="U45:AB45"/>
    <mergeCell ref="U46:AB46"/>
    <mergeCell ref="U32:AB32"/>
    <mergeCell ref="U33:AB33"/>
    <mergeCell ref="U35:AB35"/>
    <mergeCell ref="U37:AB37"/>
    <mergeCell ref="U38:AB38"/>
    <mergeCell ref="U39:AB39"/>
    <mergeCell ref="U10:AB10"/>
    <mergeCell ref="U11:AB11"/>
    <mergeCell ref="U28:AB28"/>
    <mergeCell ref="U29:AB29"/>
    <mergeCell ref="U30:AB30"/>
    <mergeCell ref="U31:AB31"/>
    <mergeCell ref="U40:AB40"/>
    <mergeCell ref="U41:AB41"/>
    <mergeCell ref="U43:AB43"/>
  </mergeCells>
  <printOptions horizontalCentered="1"/>
  <pageMargins left="0" right="0" top="0.3" bottom="0.25" header="0" footer="0"/>
  <pageSetup scale="47" fitToHeight="10" orientation="landscape" cellComments="atEnd"/>
  <headerFooter>
    <oddHeader>&amp;F</oddHeader>
    <oddFooter>Page &amp;P of &amp;N</oddFooter>
  </headerFooter>
  <rowBreaks count="1" manualBreakCount="1">
    <brk id="212" max="1638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Worksheet</vt:lpstr>
      <vt:lpstr>'Expense Worksheet'!Print_Area</vt:lpstr>
      <vt:lpstr>'Expense Worksheet'!Print_Titles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Emily Martin</cp:lastModifiedBy>
  <dcterms:created xsi:type="dcterms:W3CDTF">2021-04-21T15:40:43Z</dcterms:created>
  <dcterms:modified xsi:type="dcterms:W3CDTF">2021-04-21T17:36:50Z</dcterms:modified>
</cp:coreProperties>
</file>